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0"/>
  <workbookPr defaultThemeVersion="166925"/>
  <mc:AlternateContent xmlns:mc="http://schemas.openxmlformats.org/markup-compatibility/2006">
    <mc:Choice Requires="x15">
      <x15ac:absPath xmlns:x15ac="http://schemas.microsoft.com/office/spreadsheetml/2010/11/ac" url="https://peelregionca.sharepoint.com/teams/S344/Shared Documents/Website updates/2026/June 2026/FAIR Guideline/"/>
    </mc:Choice>
  </mc:AlternateContent>
  <xr:revisionPtr revIDLastSave="0" documentId="8_{41062F7B-477D-4CB7-B02D-8B484CB2103D}" xr6:coauthVersionLast="47" xr6:coauthVersionMax="47" xr10:uidLastSave="{00000000-0000-0000-0000-000000000000}"/>
  <workbookProtection workbookAlgorithmName="SHA-512" workbookHashValue="mSVa27OihGRj1UenN49/J1L6X82CKaeWylbHyW69rDFdLtBY/0yNHaFvOPjRUiWJUOq3LGe+mOJAXyNWdmllPw==" workbookSaltValue="pcNSWoe/Z387msFxly7C8A==" workbookSpinCount="100000" lockStructure="1"/>
  <bookViews>
    <workbookView xWindow="20" yWindow="20" windowWidth="19180" windowHeight="10060" tabRatio="934" xr2:uid="{D5174172-C61A-477B-8A48-138A21D2B1E5}"/>
  </bookViews>
  <sheets>
    <sheet name="A1. Identification" sheetId="16" r:id="rId1"/>
    <sheet name="A2.Operating Plan" sheetId="6" r:id="rId2"/>
    <sheet name="A3. Peel Region Grants" sheetId="34" state="hidden" r:id="rId3"/>
    <sheet name="A3. KPIs" sheetId="43" r:id="rId4"/>
    <sheet name="A4. Financial Position" sheetId="17" r:id="rId5"/>
    <sheet name="A5. Operations" sheetId="18" r:id="rId6"/>
    <sheet name="A7. 2025 CWELCC" sheetId="35" state="hidden" r:id="rId7"/>
    <sheet name="A8. GovGrants input" sheetId="25" state="hidden" r:id="rId8"/>
    <sheet name="A9. SummaryOfReconciliations " sheetId="19" state="hidden" r:id="rId9"/>
    <sheet name="A10. Definition Code " sheetId="44" state="hidden" r:id="rId10"/>
    <sheet name="A11.Licensee's SFR&amp; Attestation" sheetId="41" state="hidden" r:id="rId11"/>
    <sheet name="A12. YND Reconciliation" sheetId="42" state="hidden" r:id="rId12"/>
    <sheet name="Hide- CSV file" sheetId="38" state="hidden" r:id="rId13"/>
    <sheet name="Hide - App A - EFIS IDs" sheetId="40" state="hidden" r:id="rId14"/>
    <sheet name="Hide -Financial Health Score" sheetId="29" state="hidden" r:id="rId15"/>
  </sheets>
  <externalReferences>
    <externalReference r:id="rId16"/>
    <externalReference r:id="rId17"/>
  </externalReferences>
  <definedNames>
    <definedName name="_xlnm._FilterDatabase" localSheetId="9" hidden="1">'A10. Definition Code '!#REF!</definedName>
    <definedName name="ActualProgramCosts" localSheetId="9">'[1]A12. YND Reconciliation'!$E$33</definedName>
    <definedName name="ActualProgramCosts">'A12. YND Reconciliation'!$E$33</definedName>
    <definedName name="BenchmarkAllocation" localSheetId="9">'[1]A12. YND Reconciliation'!$E$20</definedName>
    <definedName name="BenchmarkAllocation">'A12. YND Reconciliation'!$E$20</definedName>
    <definedName name="CorpName" localSheetId="9">'[2]A1 - Identification'!$C$10</definedName>
    <definedName name="CorpName" localSheetId="3">'[2]A1 - Identification'!$C$10</definedName>
    <definedName name="CorpName">#REF!</definedName>
    <definedName name="CostAdjustments" localSheetId="7">#REF!</definedName>
    <definedName name="CostAdjustments">#REF!</definedName>
    <definedName name="CostAdjustmentsex" localSheetId="7">#REF!</definedName>
    <definedName name="CostAdjustmentsex">#REF!</definedName>
    <definedName name="Dec_31__2024">#REF!</definedName>
    <definedName name="EnrollmentDate">#REF!</definedName>
    <definedName name="LookupColumn">#REF!</definedName>
    <definedName name="_xlnm.Print_Area" localSheetId="0">'A1. Identification'!$A$1:$D$35</definedName>
    <definedName name="_xlnm.Print_Area" localSheetId="1">'A2.Operating Plan'!$B$1:$E$24</definedName>
    <definedName name="_xlnm.Print_Area" localSheetId="4">'A4. Financial Position'!$B$1:$G$58</definedName>
    <definedName name="_xlnm.Print_Area" localSheetId="5">'A5. Operations'!$B$1:$H$131</definedName>
    <definedName name="_xlnm.Print_Area" localSheetId="6">'A7. 2025 CWELCC'!$B$1:$D$42</definedName>
    <definedName name="_xlnm.Print_Area" localSheetId="14">'Hide -Financial Health Score'!$A$1:$Q$19</definedName>
    <definedName name="ProgramCostsAllocation" localSheetId="9">'[1]A12. YND Reconciliation'!$E$23</definedName>
    <definedName name="ProgramCostsAllocation">#REF!</definedName>
    <definedName name="ResultColumn">#REF!</definedName>
    <definedName name="SimonLegacyData">#REF!</definedName>
    <definedName name="SSMs">#REF!</definedName>
    <definedName name="SumEligibleCosts">#REF!</definedName>
    <definedName name="VersionDate" localSheetId="9">'[2]A1 - Identification'!$C$52</definedName>
    <definedName name="VersionDate" localSheetId="3">'[2]A1 - Identification'!$C$52</definedName>
    <definedName name="VersionDate">#REF!</definedName>
    <definedName name="YearEnd" localSheetId="9">'[2]A1 - Identification'!$G$10</definedName>
    <definedName name="YearEnd" localSheetId="3">'[2]A1 - Identification'!$G$10</definedName>
    <definedName name="YearEn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6" i="18" l="1"/>
  <c r="H23" i="18"/>
  <c r="H24" i="18"/>
  <c r="H22" i="18"/>
  <c r="H19" i="18"/>
  <c r="H18" i="18"/>
  <c r="B1" i="17"/>
  <c r="B1" i="18" l="1"/>
  <c r="B1" i="6"/>
  <c r="E28" i="43"/>
  <c r="E27" i="43"/>
  <c r="E20" i="43"/>
  <c r="E13" i="43"/>
  <c r="F21" i="18"/>
  <c r="B4" i="19" l="1"/>
  <c r="B3" i="25"/>
  <c r="B4" i="35"/>
  <c r="B1" i="34"/>
  <c r="D18" i="6" l="1"/>
  <c r="D20" i="6"/>
  <c r="F17" i="6"/>
  <c r="G17" i="6"/>
  <c r="H17" i="6"/>
  <c r="I17" i="6"/>
  <c r="J17" i="6"/>
  <c r="E17" i="6"/>
  <c r="G157" i="34" l="1"/>
  <c r="G156" i="34"/>
  <c r="G158" i="34"/>
  <c r="G159" i="34"/>
  <c r="E150" i="34"/>
  <c r="E151" i="34"/>
  <c r="E152" i="34"/>
  <c r="E153" i="34"/>
  <c r="E154" i="34"/>
  <c r="E155" i="34"/>
  <c r="E156" i="34"/>
  <c r="E157" i="34"/>
  <c r="E158" i="34"/>
  <c r="E159" i="34"/>
  <c r="G151" i="34"/>
  <c r="H151" i="34" s="1"/>
  <c r="G152" i="34"/>
  <c r="H152" i="34" s="1"/>
  <c r="G153" i="34"/>
  <c r="H153" i="34" s="1"/>
  <c r="G154" i="34"/>
  <c r="H154" i="34" s="1"/>
  <c r="G155" i="34"/>
  <c r="H155" i="34" s="1"/>
  <c r="G150" i="34"/>
  <c r="H150" i="34" s="1"/>
  <c r="G160" i="34" l="1"/>
  <c r="F160" i="34"/>
  <c r="F54" i="41" s="1"/>
  <c r="D160" i="34"/>
  <c r="C160" i="34"/>
  <c r="H157" i="34"/>
  <c r="H158" i="34"/>
  <c r="H156" i="34"/>
  <c r="H159" i="34"/>
  <c r="E161" i="34" l="1"/>
  <c r="G161" i="34"/>
  <c r="D34" i="35"/>
  <c r="E160" i="34"/>
  <c r="I106" i="18" l="1"/>
  <c r="I105" i="18"/>
  <c r="I104" i="18"/>
  <c r="F105" i="18"/>
  <c r="F106" i="18"/>
  <c r="F51" i="41" l="1"/>
  <c r="E51" i="6" l="1"/>
  <c r="E50" i="6"/>
  <c r="E49" i="6"/>
  <c r="E48" i="6"/>
  <c r="E47" i="6"/>
  <c r="D113" i="18" l="1"/>
  <c r="C82" i="41" l="1"/>
  <c r="C85" i="41" l="1"/>
  <c r="C87" i="41"/>
  <c r="BS2" i="38"/>
  <c r="BB2" i="38"/>
  <c r="AX2" i="38"/>
  <c r="J2" i="38"/>
  <c r="F2" i="38"/>
  <c r="A2" i="38"/>
  <c r="F48" i="6"/>
  <c r="G24" i="41" s="1"/>
  <c r="Y2" i="38" s="1"/>
  <c r="F49" i="6"/>
  <c r="G25" i="41" s="1"/>
  <c r="Z2" i="38" s="1"/>
  <c r="F50" i="6"/>
  <c r="G26" i="41" s="1"/>
  <c r="AA2" i="38" s="1"/>
  <c r="F51" i="6"/>
  <c r="G27" i="41" s="1"/>
  <c r="AB2" i="38" s="1"/>
  <c r="F52" i="6"/>
  <c r="AC2" i="38" s="1"/>
  <c r="F53" i="6"/>
  <c r="AD2" i="38" s="1"/>
  <c r="F54" i="6"/>
  <c r="AE2" i="38" s="1"/>
  <c r="F55" i="6"/>
  <c r="AF2" i="38" s="1"/>
  <c r="F56" i="6"/>
  <c r="AG2" i="38" s="1"/>
  <c r="F47" i="6"/>
  <c r="G23" i="41" s="1"/>
  <c r="X2" i="38" s="1"/>
  <c r="F90" i="41"/>
  <c r="K2" i="38" s="1"/>
  <c r="F23" i="41"/>
  <c r="C90" i="41"/>
  <c r="J77" i="41"/>
  <c r="I2" i="38" s="1"/>
  <c r="F77" i="41"/>
  <c r="H2" i="38" s="1"/>
  <c r="C77" i="41"/>
  <c r="G2" i="38" s="1"/>
  <c r="F50" i="41" l="1"/>
  <c r="AN2" i="38" s="1"/>
  <c r="F46" i="41"/>
  <c r="AJ2" i="38" s="1"/>
  <c r="D32" i="35"/>
  <c r="D12" i="6" l="1"/>
  <c r="D13" i="6"/>
  <c r="D14" i="6"/>
  <c r="D15" i="6"/>
  <c r="D16" i="6"/>
  <c r="D11" i="6"/>
  <c r="E45" i="6" l="1"/>
  <c r="F45" i="6" s="1"/>
  <c r="J19" i="6"/>
  <c r="J21" i="6" s="1"/>
  <c r="I19" i="6"/>
  <c r="I21" i="6" s="1"/>
  <c r="C23" i="16"/>
  <c r="E25" i="42"/>
  <c r="E24" i="42"/>
  <c r="BH2" i="38" s="1"/>
  <c r="E21" i="42"/>
  <c r="BF2" i="38" s="1"/>
  <c r="E22" i="42"/>
  <c r="BG2" i="38" s="1"/>
  <c r="E20" i="42"/>
  <c r="BE2" i="38" l="1"/>
  <c r="E75" i="42"/>
  <c r="BI2" i="38"/>
  <c r="F58" i="41"/>
  <c r="AR2" i="38" s="1"/>
  <c r="F57" i="41"/>
  <c r="AQ2" i="38" s="1"/>
  <c r="AP2" i="38"/>
  <c r="F49" i="41"/>
  <c r="AM2" i="38" s="1"/>
  <c r="F48" i="41"/>
  <c r="AL2" i="38" s="1"/>
  <c r="F47" i="41"/>
  <c r="AK2" i="38" s="1"/>
  <c r="I47" i="18"/>
  <c r="F39" i="41"/>
  <c r="F38" i="41"/>
  <c r="F10" i="41"/>
  <c r="D2" i="38" s="1"/>
  <c r="F9" i="41"/>
  <c r="C88" i="41" s="1"/>
  <c r="F8" i="41"/>
  <c r="C86" i="41" s="1"/>
  <c r="C22" i="16" s="1"/>
  <c r="F11" i="41"/>
  <c r="E2" i="38" s="1"/>
  <c r="J24" i="41"/>
  <c r="O2" i="38" s="1"/>
  <c r="J25" i="41"/>
  <c r="P2" i="38" s="1"/>
  <c r="J26" i="41"/>
  <c r="Q2" i="38" s="1"/>
  <c r="J27" i="41"/>
  <c r="R2" i="38" s="1"/>
  <c r="S2" i="38"/>
  <c r="T2" i="38"/>
  <c r="U2" i="38"/>
  <c r="V2" i="38"/>
  <c r="W2" i="38"/>
  <c r="J23" i="41"/>
  <c r="N2" i="38" s="1"/>
  <c r="F24" i="41"/>
  <c r="F25" i="41"/>
  <c r="F26" i="41"/>
  <c r="F27" i="41"/>
  <c r="J21" i="41"/>
  <c r="M2" i="38" s="1"/>
  <c r="J18" i="41"/>
  <c r="L2" i="38" s="1"/>
  <c r="C76" i="42"/>
  <c r="E46" i="42"/>
  <c r="E23" i="42"/>
  <c r="C84" i="41"/>
  <c r="F21" i="41"/>
  <c r="I59" i="6"/>
  <c r="H57" i="6"/>
  <c r="C36" i="6"/>
  <c r="H19" i="6"/>
  <c r="H21" i="6" s="1"/>
  <c r="G19" i="6"/>
  <c r="G21" i="6" s="1"/>
  <c r="F19" i="6"/>
  <c r="F21" i="6" s="1"/>
  <c r="F47" i="18"/>
  <c r="F39" i="18"/>
  <c r="F64" i="18"/>
  <c r="F65" i="18"/>
  <c r="F66" i="18"/>
  <c r="F67" i="18"/>
  <c r="F68" i="18"/>
  <c r="F69" i="18"/>
  <c r="F63" i="18"/>
  <c r="D26" i="35"/>
  <c r="E108" i="18" l="1"/>
  <c r="E110" i="18"/>
  <c r="E93" i="18"/>
  <c r="E77" i="18"/>
  <c r="E107" i="18"/>
  <c r="E94" i="18"/>
  <c r="E73" i="18"/>
  <c r="E83" i="18"/>
  <c r="E95" i="18"/>
  <c r="E74" i="18"/>
  <c r="E84" i="18"/>
  <c r="E72" i="18"/>
  <c r="E85" i="18"/>
  <c r="E97" i="18"/>
  <c r="E86" i="18"/>
  <c r="E98" i="18"/>
  <c r="E87" i="18"/>
  <c r="E99" i="18"/>
  <c r="E88" i="18"/>
  <c r="E100" i="18"/>
  <c r="E89" i="18"/>
  <c r="E101" i="18"/>
  <c r="E90" i="18"/>
  <c r="E82" i="18"/>
  <c r="E91" i="18"/>
  <c r="E81" i="18"/>
  <c r="E109" i="18"/>
  <c r="E92" i="18"/>
  <c r="E78" i="18"/>
  <c r="AI2" i="38"/>
  <c r="E45" i="42"/>
  <c r="AH2" i="38"/>
  <c r="E44" i="42"/>
  <c r="E47" i="42" s="1"/>
  <c r="D23" i="35"/>
  <c r="F23" i="35" s="1"/>
  <c r="B34" i="34"/>
  <c r="C83" i="41"/>
  <c r="B2" i="38"/>
  <c r="E9" i="42"/>
  <c r="E10" i="42"/>
  <c r="C2" i="38"/>
  <c r="D17" i="6"/>
  <c r="E26" i="42"/>
  <c r="E32" i="42"/>
  <c r="E19" i="6"/>
  <c r="D19" i="6" s="1"/>
  <c r="J34" i="41"/>
  <c r="C24" i="16"/>
  <c r="J33" i="41"/>
  <c r="D36" i="6"/>
  <c r="E36" i="6" s="1"/>
  <c r="F22" i="18"/>
  <c r="F41" i="18"/>
  <c r="F62" i="41" l="1"/>
  <c r="AV2" i="38" s="1"/>
  <c r="E21" i="6"/>
  <c r="D21" i="6" s="1"/>
  <c r="E15" i="42" s="1"/>
  <c r="F59" i="41"/>
  <c r="AS2" i="38" s="1"/>
  <c r="E53" i="42"/>
  <c r="BM2" i="38"/>
  <c r="F63" i="41"/>
  <c r="AW2" i="38" s="1"/>
  <c r="F61" i="41"/>
  <c r="AU2" i="38" s="1"/>
  <c r="F60" i="41"/>
  <c r="AT2" i="38" s="1"/>
  <c r="A3" i="29"/>
  <c r="A1" i="29"/>
  <c r="I54" i="18"/>
  <c r="I55" i="18"/>
  <c r="I56" i="18"/>
  <c r="I57" i="18"/>
  <c r="I58" i="18"/>
  <c r="I59" i="18"/>
  <c r="F58" i="18"/>
  <c r="F57" i="18"/>
  <c r="F49" i="18"/>
  <c r="I52" i="18"/>
  <c r="I51" i="18"/>
  <c r="I50" i="18"/>
  <c r="I49" i="18"/>
  <c r="I48" i="18"/>
  <c r="I46" i="18"/>
  <c r="I41" i="18"/>
  <c r="L2" i="18"/>
  <c r="E58" i="42" l="1"/>
  <c r="BC2" i="38"/>
  <c r="H29" i="18"/>
  <c r="H28" i="18"/>
  <c r="F56" i="18" l="1"/>
  <c r="C21" i="16" l="1"/>
  <c r="F59" i="18" l="1"/>
  <c r="C20" i="16" l="1"/>
  <c r="D53" i="18"/>
  <c r="F55" i="18"/>
  <c r="F54" i="18"/>
  <c r="F52" i="18"/>
  <c r="F51" i="18"/>
  <c r="F50" i="18"/>
  <c r="F48" i="18"/>
  <c r="F46" i="18"/>
  <c r="F43" i="18"/>
  <c r="F44" i="18"/>
  <c r="E53" i="18"/>
  <c r="I44" i="18"/>
  <c r="I43" i="18"/>
  <c r="E45" i="18"/>
  <c r="D45" i="18"/>
  <c r="F38" i="18"/>
  <c r="F40" i="18"/>
  <c r="F42" i="18"/>
  <c r="H21" i="18"/>
  <c r="H20" i="18"/>
  <c r="F104" i="18"/>
  <c r="I64" i="18"/>
  <c r="I65" i="18"/>
  <c r="I66" i="18"/>
  <c r="I67" i="18"/>
  <c r="I68" i="18"/>
  <c r="I69" i="18"/>
  <c r="I63" i="18"/>
  <c r="I60" i="18"/>
  <c r="I45" i="18" l="1"/>
  <c r="D35" i="18"/>
  <c r="F45" i="18"/>
  <c r="F37" i="18"/>
  <c r="I42" i="18"/>
  <c r="I40" i="18" l="1"/>
  <c r="D116" i="34"/>
  <c r="E35" i="18" l="1"/>
  <c r="I38" i="18"/>
  <c r="E130" i="34"/>
  <c r="G130" i="34"/>
  <c r="H130" i="34" s="1"/>
  <c r="E141" i="34"/>
  <c r="G40" i="34"/>
  <c r="H160" i="34" l="1"/>
  <c r="I37" i="18"/>
  <c r="F141" i="34"/>
  <c r="F65" i="41" l="1"/>
  <c r="AY2" i="38" s="1"/>
  <c r="D76" i="34" l="1"/>
  <c r="C61" i="34"/>
  <c r="D79" i="34" s="1"/>
  <c r="F39" i="34" l="1"/>
  <c r="C20" i="19"/>
  <c r="D20" i="19" s="1"/>
  <c r="E20" i="19"/>
  <c r="F20" i="19" l="1"/>
  <c r="F38" i="34"/>
  <c r="F37" i="34"/>
  <c r="F40" i="34" l="1"/>
  <c r="C16" i="19"/>
  <c r="D16" i="19" s="1"/>
  <c r="C18" i="19"/>
  <c r="D18" i="19" s="1"/>
  <c r="D40" i="34"/>
  <c r="D33" i="35"/>
  <c r="C105" i="35"/>
  <c r="C17" i="19" l="1"/>
  <c r="G2" i="35"/>
  <c r="L2" i="16"/>
  <c r="L2" i="6"/>
  <c r="H2" i="34"/>
  <c r="J2" i="17"/>
  <c r="J2" i="25"/>
  <c r="I2" i="19" s="1"/>
  <c r="L2" i="41" s="1"/>
  <c r="XFD2" i="42" s="1"/>
  <c r="E18" i="19"/>
  <c r="E16" i="19"/>
  <c r="L1" i="18" l="1"/>
  <c r="E122" i="18"/>
  <c r="E123" i="18"/>
  <c r="E121" i="18"/>
  <c r="E117" i="18"/>
  <c r="E118" i="18"/>
  <c r="E116" i="18"/>
  <c r="D103" i="18"/>
  <c r="C13" i="19"/>
  <c r="D15" i="35" l="1"/>
  <c r="D13" i="35"/>
  <c r="D14" i="35"/>
  <c r="D10" i="35"/>
  <c r="C64" i="34"/>
  <c r="C101" i="34"/>
  <c r="C91" i="35"/>
  <c r="C92" i="35"/>
  <c r="C90" i="35"/>
  <c r="C69" i="35"/>
  <c r="C73" i="35"/>
  <c r="C104" i="34" l="1"/>
  <c r="C106" i="34" s="1"/>
  <c r="D119" i="34"/>
  <c r="D117" i="34"/>
  <c r="D65" i="34"/>
  <c r="C77" i="34" s="1"/>
  <c r="E113" i="18" s="1"/>
  <c r="D77" i="34"/>
  <c r="D16" i="35"/>
  <c r="D118" i="34"/>
  <c r="C93" i="35"/>
  <c r="C106" i="35"/>
  <c r="C107" i="35"/>
  <c r="I1" i="19"/>
  <c r="L1" i="41" s="1"/>
  <c r="XFD1" i="42" s="1"/>
  <c r="C99" i="35"/>
  <c r="C97" i="35"/>
  <c r="G1" i="35"/>
  <c r="H39" i="34"/>
  <c r="I39" i="34" s="1"/>
  <c r="H38" i="34"/>
  <c r="I38" i="34" s="1"/>
  <c r="J1" i="25"/>
  <c r="H1" i="34"/>
  <c r="H37" i="34"/>
  <c r="I37" i="34" s="1"/>
  <c r="D112" i="18"/>
  <c r="F26" i="18"/>
  <c r="D105" i="34"/>
  <c r="F113" i="18" l="1"/>
  <c r="C74" i="35"/>
  <c r="C96" i="35"/>
  <c r="C98" i="35" s="1"/>
  <c r="F27" i="18"/>
  <c r="E115" i="18"/>
  <c r="C108" i="34"/>
  <c r="I40" i="34" l="1"/>
  <c r="E71" i="35"/>
  <c r="D97" i="35"/>
  <c r="C100" i="35"/>
  <c r="D99" i="35"/>
  <c r="C14" i="19" l="1"/>
  <c r="D107" i="34"/>
  <c r="C117" i="34"/>
  <c r="C108" i="35" s="1"/>
  <c r="C37" i="25"/>
  <c r="F112" i="18"/>
  <c r="E112" i="18"/>
  <c r="E54" i="35"/>
  <c r="F54" i="35" s="1"/>
  <c r="C118" i="34" l="1"/>
  <c r="D25" i="35" s="1"/>
  <c r="C119" i="34" l="1"/>
  <c r="D9" i="35"/>
  <c r="D11" i="35" s="1"/>
  <c r="D18" i="35" s="1"/>
  <c r="D39" i="35"/>
  <c r="D24" i="35" l="1"/>
  <c r="C109" i="35"/>
  <c r="E105" i="35" s="1"/>
  <c r="D64" i="35"/>
  <c r="H40" i="34"/>
  <c r="E40" i="34"/>
  <c r="E41" i="34" l="1"/>
  <c r="G41" i="34"/>
  <c r="J40" i="34"/>
  <c r="D17" i="19"/>
  <c r="E17" i="19" s="1"/>
  <c r="F24" i="18"/>
  <c r="J1" i="17" l="1"/>
  <c r="L1" i="6"/>
  <c r="L1" i="16"/>
  <c r="C66" i="34" l="1"/>
  <c r="C68" i="34" s="1"/>
  <c r="D78" i="34"/>
  <c r="D67" i="34" l="1"/>
  <c r="C78" i="34" s="1"/>
  <c r="D82" i="34" s="1"/>
  <c r="D74" i="34" l="1"/>
  <c r="BT2" i="38" l="1"/>
  <c r="D16" i="17"/>
  <c r="B3" i="17" l="1"/>
  <c r="C31" i="25" l="1"/>
  <c r="C20" i="25"/>
  <c r="C15" i="25"/>
  <c r="C16" i="25"/>
  <c r="C17" i="25"/>
  <c r="C18" i="25"/>
  <c r="C19" i="25"/>
  <c r="C14" i="25"/>
  <c r="F23" i="25"/>
  <c r="D23" i="25"/>
  <c r="H22" i="25"/>
  <c r="G22" i="25"/>
  <c r="G20" i="25"/>
  <c r="G19" i="25"/>
  <c r="G18" i="25"/>
  <c r="G17" i="25"/>
  <c r="G16" i="25"/>
  <c r="G15" i="25"/>
  <c r="G14" i="25"/>
  <c r="H15" i="25" l="1"/>
  <c r="H16" i="25"/>
  <c r="H14" i="25"/>
  <c r="H19" i="25"/>
  <c r="H18" i="25"/>
  <c r="H17" i="25"/>
  <c r="H20" i="25"/>
  <c r="C23" i="25"/>
  <c r="F29" i="18" l="1"/>
  <c r="F28" i="18"/>
  <c r="F20" i="18"/>
  <c r="D80" i="18" l="1"/>
  <c r="D76" i="18"/>
  <c r="D71" i="18"/>
  <c r="E62" i="18"/>
  <c r="D62" i="18"/>
  <c r="F60" i="18"/>
  <c r="F53" i="18" s="1"/>
  <c r="F35" i="18" s="1"/>
  <c r="D36" i="17"/>
  <c r="D12" i="17"/>
  <c r="D20" i="17" s="1"/>
  <c r="E120" i="18" l="1"/>
  <c r="D31" i="35" s="1"/>
  <c r="D115" i="18"/>
  <c r="D30" i="35" s="1"/>
  <c r="D120" i="18"/>
  <c r="F62" i="18"/>
  <c r="C12" i="19"/>
  <c r="C15" i="19" s="1"/>
  <c r="D125" i="18" l="1"/>
  <c r="Q18" i="29" l="1"/>
  <c r="C8" i="29"/>
  <c r="L8" i="29" s="1"/>
  <c r="Q8" i="29" s="1"/>
  <c r="F99" i="18"/>
  <c r="F95" i="18"/>
  <c r="F110" i="18"/>
  <c r="D29" i="35"/>
  <c r="E59" i="35"/>
  <c r="D70" i="35" s="1"/>
  <c r="F100" i="18" l="1"/>
  <c r="B70" i="35"/>
  <c r="E39" i="42"/>
  <c r="E76" i="18"/>
  <c r="F82" i="18"/>
  <c r="F109" i="18"/>
  <c r="D27" i="35"/>
  <c r="F98" i="18"/>
  <c r="F108" i="18"/>
  <c r="D28" i="35"/>
  <c r="E103" i="18"/>
  <c r="F107" i="18"/>
  <c r="F93" i="18"/>
  <c r="F87" i="18"/>
  <c r="F83" i="18"/>
  <c r="F85" i="18"/>
  <c r="F96" i="18"/>
  <c r="F94" i="18"/>
  <c r="F92" i="18"/>
  <c r="F86" i="18"/>
  <c r="F97" i="18"/>
  <c r="F91" i="18"/>
  <c r="F89" i="18"/>
  <c r="F90" i="18"/>
  <c r="F84" i="18"/>
  <c r="F78" i="18"/>
  <c r="F101" i="18"/>
  <c r="F88" i="18"/>
  <c r="F74" i="18"/>
  <c r="F73" i="18"/>
  <c r="E80" i="18"/>
  <c r="F81" i="18"/>
  <c r="F77" i="18"/>
  <c r="E71" i="18"/>
  <c r="F72" i="18"/>
  <c r="E125" i="18" l="1"/>
  <c r="D21" i="35" s="1"/>
  <c r="D35" i="35"/>
  <c r="F103" i="18"/>
  <c r="F80" i="18"/>
  <c r="F76" i="18"/>
  <c r="F71" i="18"/>
  <c r="F125" i="18" l="1"/>
  <c r="F21" i="19" l="1"/>
  <c r="F22" i="19" s="1"/>
  <c r="F25" i="19" s="1"/>
  <c r="D37" i="35" l="1"/>
  <c r="D41" i="35" l="1"/>
  <c r="C111" i="35" s="1"/>
  <c r="C114" i="35" l="1"/>
  <c r="C116" i="35" l="1"/>
  <c r="C117" i="35" s="1"/>
  <c r="D42" i="35"/>
  <c r="F66" i="41" s="1"/>
  <c r="C118" i="35"/>
  <c r="C119" i="35" s="1"/>
  <c r="D14" i="19" s="1"/>
  <c r="E14" i="19" s="1"/>
  <c r="D43" i="35" l="1"/>
  <c r="B42" i="35"/>
  <c r="D63" i="35"/>
  <c r="E61" i="35" s="1"/>
  <c r="D44" i="35"/>
  <c r="B46" i="35" s="1"/>
  <c r="I37" i="25" s="1"/>
  <c r="C120" i="35"/>
  <c r="F25" i="18"/>
  <c r="F30" i="18" s="1"/>
  <c r="F127" i="18" s="1"/>
  <c r="E37" i="25"/>
  <c r="AZ2" i="38" l="1"/>
  <c r="F68" i="41"/>
  <c r="G66" i="41" s="1"/>
  <c r="G14" i="19"/>
  <c r="E52" i="35"/>
  <c r="F52" i="35" s="1"/>
  <c r="H37" i="25"/>
  <c r="C68" i="35"/>
  <c r="D69" i="35" s="1"/>
  <c r="D66" i="35"/>
  <c r="G64" i="41" l="1"/>
  <c r="G47" i="41"/>
  <c r="G54" i="41"/>
  <c r="G62" i="41"/>
  <c r="G63" i="41"/>
  <c r="G58" i="41"/>
  <c r="G49" i="41"/>
  <c r="G65" i="41"/>
  <c r="E31" i="42"/>
  <c r="E33" i="42" s="1"/>
  <c r="G46" i="41"/>
  <c r="G50" i="41"/>
  <c r="G48" i="41"/>
  <c r="G60" i="41"/>
  <c r="G59" i="41"/>
  <c r="G61" i="41"/>
  <c r="G57" i="41"/>
  <c r="E65" i="35"/>
  <c r="E53" i="35" s="1"/>
  <c r="BK2" i="38" l="1"/>
  <c r="E51" i="42"/>
  <c r="E74" i="42" s="1"/>
  <c r="E37" i="42"/>
  <c r="E38" i="42"/>
  <c r="G68" i="41"/>
  <c r="E31" i="25"/>
  <c r="H31" i="25" s="1"/>
  <c r="F53" i="35"/>
  <c r="E75" i="35"/>
  <c r="D13" i="19"/>
  <c r="E21" i="25" l="1"/>
  <c r="E23" i="25" s="1"/>
  <c r="E40" i="42"/>
  <c r="E76" i="42" a="1"/>
  <c r="E76" i="42" s="1"/>
  <c r="BR2" i="38" s="1"/>
  <c r="E13" i="19"/>
  <c r="G13" i="19" s="1"/>
  <c r="D30" i="18"/>
  <c r="D127" i="18" s="1"/>
  <c r="E77" i="35"/>
  <c r="D12" i="19"/>
  <c r="E55" i="35"/>
  <c r="E52" i="42" l="1"/>
  <c r="E54" i="42" s="1"/>
  <c r="BL2" i="38"/>
  <c r="E12" i="19"/>
  <c r="D55" i="17"/>
  <c r="D15" i="19"/>
  <c r="H21" i="25"/>
  <c r="H23" i="25" s="1"/>
  <c r="G21" i="25"/>
  <c r="G23" i="25" s="1"/>
  <c r="E59" i="42" l="1"/>
  <c r="E60" i="42" s="1"/>
  <c r="BN2" i="38"/>
  <c r="E15" i="19"/>
  <c r="C12" i="29"/>
  <c r="L12" i="29" s="1"/>
  <c r="Q12" i="29" s="1"/>
  <c r="D58" i="17"/>
  <c r="D44" i="17" s="1"/>
  <c r="D47" i="17" s="1"/>
  <c r="E30" i="18"/>
  <c r="E127" i="18" s="1"/>
  <c r="C70" i="42" l="1" a="1"/>
  <c r="C70" i="42" s="1"/>
  <c r="C60" i="42" a="1"/>
  <c r="C60" i="42" s="1"/>
  <c r="C82" i="34"/>
  <c r="C38" i="25"/>
  <c r="AO2" i="38" s="1"/>
  <c r="C21" i="19"/>
  <c r="C79" i="34"/>
  <c r="C22" i="19" l="1"/>
  <c r="C25" i="19" s="1"/>
  <c r="E16" i="42"/>
  <c r="E38" i="25"/>
  <c r="D21" i="19"/>
  <c r="F70" i="41" s="1"/>
  <c r="C83" i="34"/>
  <c r="BA2" i="38" l="1"/>
  <c r="E64" i="42"/>
  <c r="F72" i="41"/>
  <c r="C74" i="41" s="1"/>
  <c r="E27" i="42"/>
  <c r="BD2" i="38"/>
  <c r="E66" i="42"/>
  <c r="D22" i="19"/>
  <c r="D25" i="19" s="1"/>
  <c r="I38" i="25"/>
  <c r="E21" i="19"/>
  <c r="H38" i="25"/>
  <c r="BJ2" i="38" l="1"/>
  <c r="E63" i="42"/>
  <c r="E22" i="19"/>
  <c r="E25" i="19" s="1"/>
  <c r="D32" i="17" s="1"/>
  <c r="E65" i="42" l="1"/>
  <c r="BO2" i="38" s="1"/>
  <c r="D40" i="17"/>
  <c r="C7" i="29"/>
  <c r="L7" i="29" s="1"/>
  <c r="Q7" i="29" s="1"/>
  <c r="E67" i="42" l="1"/>
  <c r="C67" i="42" s="1" a="1"/>
  <c r="C67" i="42" s="1"/>
  <c r="C10" i="29"/>
  <c r="L10" i="29" s="1"/>
  <c r="Q10" i="29" s="1"/>
  <c r="Q15" i="29" s="1"/>
  <c r="Q16" i="29" s="1"/>
  <c r="B51" i="17"/>
  <c r="D49" i="17"/>
  <c r="E70" i="42" l="1"/>
  <c r="BP2" i="38" s="1"/>
  <c r="BQ2"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Atwal, Navdip</author>
  </authors>
  <commentList>
    <comment ref="E10" authorId="0" shapeId="0" xr:uid="{12498BC9-5667-46E8-8E55-F885F83CAF60}">
      <text>
        <r>
          <rPr>
            <b/>
            <sz val="11"/>
            <color indexed="81"/>
            <rFont val="Tahoma"/>
            <family val="2"/>
          </rPr>
          <t>Enter most recent CWELCC allocation from Gov Grants</t>
        </r>
        <r>
          <rPr>
            <sz val="11"/>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<sst xmlns="http://schemas.openxmlformats.org/spreadsheetml/2006/main" count="1335" uniqueCount="1100">
  <si>
    <t xml:space="preserve">Early Years and Child Care Services </t>
  </si>
  <si>
    <t>Vendor ID:</t>
  </si>
  <si>
    <t>Financial Annual Information Return (FAIR) LHCC - Peel Secondary SSM</t>
  </si>
  <si>
    <t>Licence number:</t>
  </si>
  <si>
    <t xml:space="preserve">   </t>
  </si>
  <si>
    <t>Agency Information</t>
  </si>
  <si>
    <t>Agency Legal Name:</t>
  </si>
  <si>
    <t>ID100</t>
  </si>
  <si>
    <t>Agency Operating Name:</t>
  </si>
  <si>
    <t>ID101</t>
  </si>
  <si>
    <t>Year-End (e.g. December 31, 2025):</t>
  </si>
  <si>
    <t>ID102</t>
  </si>
  <si>
    <t>Mailing Address (# and Street Name, Unit #):</t>
  </si>
  <si>
    <t>ID103</t>
  </si>
  <si>
    <t>Mailing Address (City, Province, Postal Code):</t>
  </si>
  <si>
    <t>ID104</t>
  </si>
  <si>
    <t>Auspice:</t>
  </si>
  <si>
    <t>ID105</t>
  </si>
  <si>
    <t>Centre-Based, Home-Based or both:</t>
  </si>
  <si>
    <t>ID106</t>
  </si>
  <si>
    <t>ID107</t>
  </si>
  <si>
    <t>Contact info: (use first and last name)</t>
  </si>
  <si>
    <t>ID108</t>
  </si>
  <si>
    <t>Phone number for contact</t>
  </si>
  <si>
    <t>ID109</t>
  </si>
  <si>
    <t>Email address  for contact</t>
  </si>
  <si>
    <t>ID110</t>
  </si>
  <si>
    <t>Signing Officer (first and last name)</t>
  </si>
  <si>
    <t>ID111</t>
  </si>
  <si>
    <t>Annual Attestation</t>
  </si>
  <si>
    <t>Attestation</t>
  </si>
  <si>
    <t xml:space="preserve">Signature: </t>
  </si>
  <si>
    <t>ID112</t>
  </si>
  <si>
    <t>Sign-off Date</t>
  </si>
  <si>
    <t>ID113</t>
  </si>
  <si>
    <t>Link to 2025 CWELCC guideline:</t>
  </si>
  <si>
    <t xml:space="preserve">2025 Canada-wide early learning and child care (CWELCC) funding guideline </t>
  </si>
  <si>
    <t xml:space="preserve">Important Note: Complete tabs 1 to 5 in order. </t>
  </si>
  <si>
    <t>Tab</t>
  </si>
  <si>
    <t>Input Required or Review only</t>
  </si>
  <si>
    <t>Purpose</t>
  </si>
  <si>
    <t>A1. Identification</t>
  </si>
  <si>
    <t>Input required</t>
  </si>
  <si>
    <t>Captures Agency identification details, including contact information and high-level organizational data.</t>
  </si>
  <si>
    <t>A2. Operating Plan</t>
  </si>
  <si>
    <t>Operating Plan: This section is used to calculate the proportional allocation of eligible expenses between children aged 0–6 (eligible) and 6–12 (non-eligible). To ensure consistency with benchmark calculations, providers must use operating data as of April 30, 2025. If alternative service level data is used, providers must supply the corresponding figures along with a clear rationale for the deviation from the April 30 benchmark.</t>
  </si>
  <si>
    <t>A3.Peel Region grants</t>
  </si>
  <si>
    <t>Providers must input both the allocated amounts and actual expenditures for each applicable regional grant. Information entered in this tab automatically populates corresponding fields in tabs  A5, A6,A7, A8, and A9 to facilitate streamlined reporting. For additional guidance, refer to tab A3.</t>
  </si>
  <si>
    <t>A3. KPIs</t>
  </si>
  <si>
    <t>To collect key performance indicators (KPI) for year end reporting to the province and regional council</t>
  </si>
  <si>
    <t>A4. Financial Position</t>
  </si>
  <si>
    <t>Enables providers to report their year-end financial position based on audited financial statements.</t>
  </si>
  <si>
    <t>A5. Operations</t>
  </si>
  <si>
    <t>Enables providers to report year-end revenue and expenses based on their financial statements. If services are delivered to children aged 6–12, a prorated adjustment is applied to total expenses to reflect this allocation.</t>
  </si>
  <si>
    <t xml:space="preserve">A7. 2025 CWELCC </t>
  </si>
  <si>
    <t>No Input required</t>
  </si>
  <si>
    <t>Performs year-end recovery calculations for CWELCC based on reported financial data.</t>
  </si>
  <si>
    <t>A8. GovGrants (GG) input</t>
  </si>
  <si>
    <t>Provides the amounts required for year-end reconciliation reporting under the 2025 CWELCC funding streams, including Cost-Based Funding and Allocation in Lieu of Profit/Surplus.</t>
  </si>
  <si>
    <t xml:space="preserve">A9. Summary of Reconciliations </t>
  </si>
  <si>
    <t xml:space="preserve">No input required, 
unless funding received from Peel is missing from the prepopulated list. </t>
  </si>
  <si>
    <t>Providers must report the funds received, funds spent, amounts repayable to Peel, and deferred revenue for all Peel Region grants not listed in tab 3A. Grants listed in tab A3 are linked directly to tab A9. All reported amounts must align with the note disclosures in the audited financial statements, in accordance with new ACCOUNTING AND NOTE DISCLOSURE GUIDELINE FOR ACCOUNTANTS / AUDITORS.</t>
  </si>
  <si>
    <t>A10. Definition Code</t>
  </si>
  <si>
    <t xml:space="preserve">No Input required </t>
  </si>
  <si>
    <t>Provides guidance on locating the definition codes.</t>
  </si>
  <si>
    <t>A11.Licensee's SFR&amp; Attestation</t>
  </si>
  <si>
    <t>Tab A11 and A12 collects financial data required to complete the Standardized Financial Report (SFR) as mandated by the Ministry of Education. The information gathered ensures compliance with provincial reporting standards and supports accurate funding and accountability processes.</t>
  </si>
  <si>
    <t>A12. YND Reconciliation</t>
  </si>
  <si>
    <t>Region of Peel Contact Information</t>
  </si>
  <si>
    <t xml:space="preserve">For questions and/or assistance in completing this workbook, please email EarlyYearsSystemDivision@peelregion.ca. </t>
  </si>
  <si>
    <t>Region of Peel Staff Only</t>
  </si>
  <si>
    <t>Assurance Level &amp; Opinion:</t>
  </si>
  <si>
    <t>ID114</t>
  </si>
  <si>
    <t>Make below white font colour</t>
  </si>
  <si>
    <t>Yes, Transacted @ Fair Market Value (FMV)</t>
  </si>
  <si>
    <t>Low</t>
  </si>
  <si>
    <t>Yes, Not Transacted @ Fair Market Value (FMV)</t>
  </si>
  <si>
    <t>High</t>
  </si>
  <si>
    <t>No</t>
  </si>
  <si>
    <t>N/A</t>
  </si>
  <si>
    <t>Audit/Review - Unqualified Opinion</t>
  </si>
  <si>
    <t>Unqualified</t>
  </si>
  <si>
    <t>Audit/Review - Qualified Opinion</t>
  </si>
  <si>
    <t>Qualified</t>
  </si>
  <si>
    <t xml:space="preserve">Audit/Review - Qualified Opinion Due to Nature of Business </t>
  </si>
  <si>
    <t>Audit/Review - Denial / Adverse Opinion</t>
  </si>
  <si>
    <t>Adverse</t>
  </si>
  <si>
    <t>Notice to Reader - No Opinion</t>
  </si>
  <si>
    <t>NTR</t>
  </si>
  <si>
    <t>Centre-Based</t>
  </si>
  <si>
    <t>Home-Based</t>
  </si>
  <si>
    <t>Centre-Based and Home-Based (Both)</t>
  </si>
  <si>
    <t>For-Profit</t>
  </si>
  <si>
    <t>Not-For-Profit</t>
  </si>
  <si>
    <t>Yes</t>
  </si>
  <si>
    <t>2025 CWELCC Allocation</t>
  </si>
  <si>
    <r>
      <t>Instructions for Allocation:</t>
    </r>
    <r>
      <rPr>
        <sz val="12"/>
        <rFont val="Calibri"/>
        <family val="2"/>
        <scheme val="minor"/>
      </rPr>
      <t xml:space="preserve"> Input information in green cells only.  Select your SSM and enter the funding allocations calculated by the selected SSM. </t>
    </r>
  </si>
  <si>
    <t>Select SSM name from drop down menu</t>
  </si>
  <si>
    <t>Funding Components</t>
  </si>
  <si>
    <t>Total Funding Allocation</t>
  </si>
  <si>
    <t>Overseeing SSM</t>
  </si>
  <si>
    <t>Secondary SSM 1</t>
  </si>
  <si>
    <t>Secondary SSM 2</t>
  </si>
  <si>
    <t>Secondary SSM 3</t>
  </si>
  <si>
    <t>Secondary SSM 4</t>
  </si>
  <si>
    <t>Secondary SSM 5</t>
  </si>
  <si>
    <t>Program Cost Allocation</t>
  </si>
  <si>
    <t>Home Visitor Compensation</t>
  </si>
  <si>
    <t>HCC Provider Compensation</t>
  </si>
  <si>
    <t>Operating - Fixed</t>
  </si>
  <si>
    <t xml:space="preserve">Operating – Variable </t>
  </si>
  <si>
    <t xml:space="preserve">Legacy Top-Up </t>
  </si>
  <si>
    <t xml:space="preserve">Growth Top-Up </t>
  </si>
  <si>
    <t>Total Program Cost Allocation</t>
  </si>
  <si>
    <t xml:space="preserve">Minus: Expected Base Fee Revenue Offset </t>
  </si>
  <si>
    <t xml:space="preserve">TOTAL </t>
  </si>
  <si>
    <t>Amount in Lieu of Profit/Surplus</t>
  </si>
  <si>
    <t>TOTAL CWELCC ALLOCATION</t>
  </si>
  <si>
    <t>Operating Data for Proration</t>
  </si>
  <si>
    <r>
      <t xml:space="preserve">Instructions:  </t>
    </r>
    <r>
      <rPr>
        <b/>
        <sz val="11"/>
        <color theme="1"/>
        <rFont val="Calibri"/>
        <family val="2"/>
        <scheme val="minor"/>
      </rPr>
      <t>Input data in green cells only.  Enter the service level data for the site as of April 30, 2</t>
    </r>
    <r>
      <rPr>
        <b/>
        <sz val="11"/>
        <rFont val="Calibri"/>
        <family val="2"/>
        <scheme val="minor"/>
      </rPr>
      <t>025 (benchmark allocations based on April 30 data)</t>
    </r>
    <r>
      <rPr>
        <b/>
        <sz val="11"/>
        <color theme="1"/>
        <rFont val="Calibri"/>
        <family val="2"/>
        <scheme val="minor"/>
      </rPr>
      <t>.  If not using service level data as of April 30, 2025, below provide the date for service level data and reasoning for not using April 30, 2025.</t>
    </r>
  </si>
  <si>
    <t xml:space="preserve">Date of Service Level, if not April 30, 2025: </t>
  </si>
  <si>
    <t>Rationale for not using April 30, 2025 data</t>
  </si>
  <si>
    <t xml:space="preserve"># of Months Agency participated in CWELCC for 2025 </t>
  </si>
  <si>
    <t xml:space="preserve">2025 number of eligible children (age 0-6) enrolled </t>
  </si>
  <si>
    <t xml:space="preserve">2025 total number of children (age 0-12) enrolled </t>
  </si>
  <si>
    <t>Proration</t>
  </si>
  <si>
    <t>Age 0-6</t>
  </si>
  <si>
    <t>Age 6-12</t>
  </si>
  <si>
    <t>Percentage</t>
  </si>
  <si>
    <t>Service Days</t>
  </si>
  <si>
    <t>Operational Information</t>
  </si>
  <si>
    <t>Enter information about the operational reality for the calendar year</t>
  </si>
  <si>
    <t>The total number of active home-days for the year for the home agency</t>
  </si>
  <si>
    <t>1OP</t>
  </si>
  <si>
    <t>For each service area where active homes are located, enter the number of active home-days</t>
  </si>
  <si>
    <t>Service Areas by home location</t>
  </si>
  <si>
    <r>
      <t xml:space="preserve">EFIS ID
</t>
    </r>
    <r>
      <rPr>
        <b/>
        <i/>
        <sz val="10.8"/>
        <color theme="1"/>
        <rFont val="Arial Nova"/>
        <family val="2"/>
      </rPr>
      <t>(auto populated)</t>
    </r>
  </si>
  <si>
    <t>Number of active home-days for active homes located 
in the service area</t>
  </si>
  <si>
    <r>
      <t xml:space="preserve">Overseeing (CMSM/DSSAB where agency's head office is located) </t>
    </r>
    <r>
      <rPr>
        <i/>
        <sz val="10.199999999999999"/>
        <color theme="1"/>
        <rFont val="Arial Nova"/>
        <family val="2"/>
      </rPr>
      <t>(auto populated)</t>
    </r>
  </si>
  <si>
    <t>2OP</t>
  </si>
  <si>
    <t>Other service areas (different from where the agency's head office is located):</t>
  </si>
  <si>
    <t>Secondary 1</t>
  </si>
  <si>
    <t>13OP</t>
  </si>
  <si>
    <t>3OP</t>
  </si>
  <si>
    <t>Secondary 2</t>
  </si>
  <si>
    <t>14OP</t>
  </si>
  <si>
    <t>4OP</t>
  </si>
  <si>
    <t>Secondary 3</t>
  </si>
  <si>
    <t>15OP</t>
  </si>
  <si>
    <t>5OP</t>
  </si>
  <si>
    <t>Secondary 4</t>
  </si>
  <si>
    <t>16OP</t>
  </si>
  <si>
    <t>6OP</t>
  </si>
  <si>
    <t>Secondary 5</t>
  </si>
  <si>
    <t>17OP</t>
  </si>
  <si>
    <t>7OP</t>
  </si>
  <si>
    <t>Secondary 6</t>
  </si>
  <si>
    <t>18OP</t>
  </si>
  <si>
    <t>8OP</t>
  </si>
  <si>
    <t>Secondary 7</t>
  </si>
  <si>
    <t>19OP</t>
  </si>
  <si>
    <t>9OP</t>
  </si>
  <si>
    <t>Secondary 8</t>
  </si>
  <si>
    <t>20OP</t>
  </si>
  <si>
    <t>10OP</t>
  </si>
  <si>
    <t>Secondary 9</t>
  </si>
  <si>
    <t>21OP</t>
  </si>
  <si>
    <t>11OP</t>
  </si>
  <si>
    <t>Secondary 10</t>
  </si>
  <si>
    <t>22OP</t>
  </si>
  <si>
    <t>12OP</t>
  </si>
  <si>
    <t>Total</t>
  </si>
  <si>
    <t>Peel Region Grants</t>
  </si>
  <si>
    <t>If you have received any of the below grants, complete the appropriate section.</t>
  </si>
  <si>
    <r>
      <rPr>
        <b/>
        <sz val="16"/>
        <color theme="4" tint="-0.249977111117893"/>
        <rFont val="Calibri"/>
        <family val="2"/>
        <scheme val="minor"/>
      </rPr>
      <t>2025 Life Long Learning Day October:</t>
    </r>
    <r>
      <rPr>
        <b/>
        <sz val="12"/>
        <color theme="4" tint="-0.249977111117893"/>
        <rFont val="Calibri"/>
        <family val="2"/>
        <scheme val="minor"/>
      </rPr>
      <t xml:space="preserve"> </t>
    </r>
    <r>
      <rPr>
        <b/>
        <sz val="12"/>
        <color theme="1"/>
        <rFont val="Calibri"/>
        <family val="2"/>
        <scheme val="minor"/>
      </rPr>
      <t>If you received this funding, providers must input a breakdown of parent fees between age groups 0–6 and 6–12. Revenue attributed to children aged 0–6 is added to parental revenue for CWELCC entitlement calculations on tabs A6 and A7. The remaining revenue is allocated to the 6–12 age group on tab A6. Expenses associated with the 0–6 age group are used to reconcile CWELCC funding. The amounts entered also update the Summary of Reconciliations on tab A9.</t>
    </r>
  </si>
  <si>
    <r>
      <rPr>
        <b/>
        <sz val="16"/>
        <color theme="4" tint="-0.249977111117893"/>
        <rFont val="Calibri"/>
        <family val="2"/>
        <scheme val="minor"/>
      </rPr>
      <t>2025 CWELCC One Time Emergency Funding (OTEF) - Major Capital:</t>
    </r>
    <r>
      <rPr>
        <b/>
        <sz val="12"/>
        <color theme="4" tint="-0.249977111117893"/>
        <rFont val="Calibri"/>
        <family val="2"/>
        <scheme val="minor"/>
      </rPr>
      <t xml:space="preserve">  </t>
    </r>
    <r>
      <rPr>
        <b/>
        <sz val="12"/>
        <color theme="1"/>
        <rFont val="Calibri"/>
        <family val="2"/>
        <scheme val="minor"/>
      </rPr>
      <t>Input required to calculate recoveries of OTEF.  OTEF Major Capital section deferred contribution is prepopulated on tab A5 and GovGrants input is tab A8. The amounts entered also update the Summary of Reconciliations on tab A9.</t>
    </r>
  </si>
  <si>
    <r>
      <rPr>
        <b/>
        <sz val="16"/>
        <color theme="4" tint="-0.249977111117893"/>
        <rFont val="Calibri"/>
        <family val="2"/>
        <scheme val="minor"/>
      </rPr>
      <t>2025 CWELCC One Time Emergency Funding (OTEF) - Operating</t>
    </r>
    <r>
      <rPr>
        <b/>
        <sz val="14"/>
        <color theme="4" tint="-0.249977111117893"/>
        <rFont val="Calibri"/>
        <family val="2"/>
        <scheme val="minor"/>
      </rPr>
      <t>:</t>
    </r>
    <r>
      <rPr>
        <b/>
        <sz val="12"/>
        <color theme="4" tint="-0.249977111117893"/>
        <rFont val="Calibri"/>
        <family val="2"/>
        <scheme val="minor"/>
      </rPr>
      <t xml:space="preserve"> </t>
    </r>
    <r>
      <rPr>
        <b/>
        <sz val="12"/>
        <color theme="1"/>
        <rFont val="Calibri"/>
        <family val="2"/>
        <scheme val="minor"/>
      </rPr>
      <t xml:space="preserve"> Input is required to calculate recoveries for the 2025 CWELCC One-Time Emergency Funding (OTEF) – Operating Grant. Revenue and expenses are prepopulated in tab A6, with recoveries calculated in tab A7. Grant amounts to be entered in GovGrants are displayed on tab A8, also  the Summary of Reconciliations in tab 9A will be updated. </t>
    </r>
  </si>
  <si>
    <r>
      <rPr>
        <b/>
        <sz val="16"/>
        <color theme="4" tint="-0.249977111117893"/>
        <rFont val="Calibri"/>
        <family val="2"/>
        <scheme val="minor"/>
      </rPr>
      <t>2025 Program Staff Top-up Funding:</t>
    </r>
    <r>
      <rPr>
        <b/>
        <sz val="16"/>
        <color theme="1"/>
        <rFont val="Calibri"/>
        <family val="2"/>
        <scheme val="minor"/>
      </rPr>
      <t xml:space="preserve"> </t>
    </r>
    <r>
      <rPr>
        <b/>
        <sz val="12"/>
        <color theme="1"/>
        <rFont val="Calibri"/>
        <family val="2"/>
        <scheme val="minor"/>
      </rPr>
      <t xml:space="preserve"> Input is required to separate the 2025 Program Staff Top-up portion from total salary expenses for age groups 0–6 years and 6–12 years in tab A6. The grant is added to the revenue section in tab A6, and related expenses entered under the 0–6 years column will be deducted from CWELCC-eligible expenses. All entries will automatically update the Summary of Reconciliations in tab A9.</t>
    </r>
  </si>
  <si>
    <r>
      <rPr>
        <b/>
        <sz val="16"/>
        <color theme="4" tint="-0.249977111117893"/>
        <rFont val="Calibri"/>
        <family val="2"/>
        <scheme val="minor"/>
      </rPr>
      <t>2025 Expansion funding (Start up projects)</t>
    </r>
    <r>
      <rPr>
        <b/>
        <sz val="16"/>
        <color theme="1"/>
        <rFont val="Calibri"/>
        <family val="2"/>
        <scheme val="minor"/>
      </rPr>
      <t xml:space="preserve"> </t>
    </r>
    <r>
      <rPr>
        <b/>
        <sz val="12"/>
        <color theme="1"/>
        <rFont val="Calibri"/>
        <family val="2"/>
        <scheme val="minor"/>
      </rPr>
      <t>: Input required to  align to updated accounting policy and amounts entered also update the Summary of Reconciliations on tab 9.</t>
    </r>
  </si>
  <si>
    <r>
      <rPr>
        <b/>
        <sz val="16"/>
        <color theme="4" tint="-0.249977111117893"/>
        <rFont val="Calibri"/>
        <family val="2"/>
        <scheme val="minor"/>
      </rPr>
      <t>2025 School Age (6-12):</t>
    </r>
    <r>
      <rPr>
        <b/>
        <sz val="16"/>
        <color theme="1"/>
        <rFont val="Calibri"/>
        <family val="2"/>
        <scheme val="minor"/>
      </rPr>
      <t xml:space="preserve">  </t>
    </r>
    <r>
      <rPr>
        <b/>
        <sz val="12"/>
        <color theme="1"/>
        <rFont val="Calibri"/>
        <family val="2"/>
        <scheme val="minor"/>
      </rPr>
      <t>Input required to populate the revenue section for A6 and Summary of Reconciliations on tab 9.</t>
    </r>
  </si>
  <si>
    <t xml:space="preserve">Click on the plus sign beside the row numbers to expand section or negative sign to collapse the section. </t>
  </si>
  <si>
    <t>2025 Life Long Learning Day on October 24</t>
  </si>
  <si>
    <t xml:space="preserve">Awarded budget and Funding used on GovGrants can be found on the 2025 Life Long Learning Day on October 24 announcement in GovGrants.  </t>
  </si>
  <si>
    <t>Providers are required to divide out 0-6 and 6-12 expenses for CWELCC reconciliation, you can use actual cost or the proration from tab 2.</t>
  </si>
  <si>
    <t>Funding spent on GovGrants 
split by 0-6 and 6-12</t>
  </si>
  <si>
    <t>Financial Summary Description</t>
  </si>
  <si>
    <t>GovGrants Budget Category</t>
  </si>
  <si>
    <t xml:space="preserve">Awarded Budget </t>
  </si>
  <si>
    <t>Funding Spent as reported on GovGrants</t>
  </si>
  <si>
    <t xml:space="preserve">Recovery </t>
  </si>
  <si>
    <t>0-6 Years</t>
  </si>
  <si>
    <t>6-12 Years</t>
  </si>
  <si>
    <t xml:space="preserve">Total Spent for 0-12 </t>
  </si>
  <si>
    <t>1. Parent Fees</t>
  </si>
  <si>
    <t>1. Child Care Fees</t>
  </si>
  <si>
    <t>2. Lunch &amp; Refreshments</t>
  </si>
  <si>
    <t>2. Nutrition</t>
  </si>
  <si>
    <t xml:space="preserve">3. Wages &amp; Mandatory Benefits for extenuating circumstances previously approved by the Region </t>
  </si>
  <si>
    <t>3. Program Staffing</t>
  </si>
  <si>
    <t>Total actual expenses</t>
  </si>
  <si>
    <t>&lt;---- Click here to expand or collapse section</t>
  </si>
  <si>
    <t>2025 CWELCC One-Time Emergency Funding - Major Capital</t>
  </si>
  <si>
    <t>OTEF MAJOR CAPITAL</t>
  </si>
  <si>
    <t xml:space="preserve">Input amounts from approval memo.  If the project has been completed as of Dec 31, 2025 the amount to report spent on GovGrants will show on tab A8.
If the project has not been completed as of Dec 31, 2025 the amount to report as spent on tab 8 will not be displayed, also tab A5 will update the deferral revenue.  If the project is not complete, however costs have been occurred enter amount of incurred costs in Cost of Project (incurred/final).  Complete the reconciliation once the project is completed.   
If the project has not been completed and costs incurred exceed approval amount, providers are required to complete OTEF reconciliation and tab A8 will provide Gov Grants input.   </t>
  </si>
  <si>
    <t>Memo approval amounts</t>
  </si>
  <si>
    <t>Has the project been completed as of Dec 31, 2025?</t>
  </si>
  <si>
    <t>If approved for OTEF Major Capital, input amounts in green cells from APPROVAL MEMO.</t>
  </si>
  <si>
    <t>Component</t>
  </si>
  <si>
    <t>Amount</t>
  </si>
  <si>
    <t xml:space="preserve">Total Project Cost </t>
  </si>
  <si>
    <t>Less: Covered by Insurance</t>
  </si>
  <si>
    <t>Less: Covered by Landlord</t>
  </si>
  <si>
    <t>Net Project cost/Total Funding Request</t>
  </si>
  <si>
    <t>OTEF Details</t>
  </si>
  <si>
    <t xml:space="preserve">Less: 6-12 Age Group Portion </t>
  </si>
  <si>
    <t>CWELCC Eligible 0-6 Age Group Portion</t>
  </si>
  <si>
    <t>Less: Your Cost Share Contribution</t>
  </si>
  <si>
    <t>Total OTEF Funding received in 2025</t>
  </si>
  <si>
    <t>Reconciliation:</t>
  </si>
  <si>
    <t>Input below final Cost of Project:</t>
  </si>
  <si>
    <t>Deferred Contribution</t>
  </si>
  <si>
    <t>Cost of Project (incurred/final):</t>
  </si>
  <si>
    <t>Covered by Insurance</t>
  </si>
  <si>
    <t>Covered by Landlord</t>
  </si>
  <si>
    <t>6-12 Age Group Portion</t>
  </si>
  <si>
    <t>Cost Sharing</t>
  </si>
  <si>
    <t>Net Actual eligible project costs eligible for OTEF</t>
  </si>
  <si>
    <t xml:space="preserve">Recovery of OTEF Major Capital </t>
  </si>
  <si>
    <t>Amount to claim for OTEF in GovGrants</t>
  </si>
  <si>
    <t xml:space="preserve">Recovery of OTEF </t>
  </si>
  <si>
    <t>2025 CWELCC One-Time Emergency Funding - Operating</t>
  </si>
  <si>
    <t xml:space="preserve">OTEF OPERATING </t>
  </si>
  <si>
    <t xml:space="preserve">Input amounts from Approval memo and complete reconciliation in GovGrants.  Any underspending in Cost Based funding will be applied to OTEF operating reconciliation to maximize cost based funding allocation.  See tab A7 for details and tab A8 for reporting in GovGrants. </t>
  </si>
  <si>
    <t>Memo Approval Amounts</t>
  </si>
  <si>
    <t>If approved for OTEF Operating, input amounts in green cells from APPROVAL MEMO.</t>
  </si>
  <si>
    <t>Input below final Cost of Project</t>
  </si>
  <si>
    <t>Total Actual Cost of Project</t>
  </si>
  <si>
    <t>2025 Program Staff Top-up Funding</t>
  </si>
  <si>
    <t>Refer to your 2025 Program Staff reconciliation and input below amounts from part 4</t>
  </si>
  <si>
    <t>Funding spent on GovGrants split by 0-6 and 6-12</t>
  </si>
  <si>
    <t>GovGrants Budget Categories</t>
  </si>
  <si>
    <t>Staff wages and benefits</t>
  </si>
  <si>
    <t xml:space="preserve">2024 &amp; 2025 Expansion funding  (Start up Grants Projects) </t>
  </si>
  <si>
    <t>Input funds received from your expansion announcement.  This is not the reconciliation for this funding. If project is not completed, input the funding used as of Dec 31, 2025.</t>
  </si>
  <si>
    <t>Financial Summary</t>
  </si>
  <si>
    <t xml:space="preserve">Funds Received </t>
  </si>
  <si>
    <t>Funding used</t>
  </si>
  <si>
    <t>2025 Expansion funding</t>
  </si>
  <si>
    <t>2025 School Age (6-12) Programs - LHCC</t>
  </si>
  <si>
    <t>Awarded budget and Funding used on GovGrants can be found on the 2025 School Age (6-12) Programs announcement in GovGrants</t>
  </si>
  <si>
    <t>Budget Category</t>
  </si>
  <si>
    <t xml:space="preserve">Total Awarded Budget </t>
  </si>
  <si>
    <t xml:space="preserve">Total Spent for
 0-12 </t>
  </si>
  <si>
    <t>WEG/HCCEG</t>
  </si>
  <si>
    <t>Workforce Compensation</t>
  </si>
  <si>
    <t>Administration</t>
  </si>
  <si>
    <t>Operations</t>
  </si>
  <si>
    <t>Base Funding - Providers</t>
  </si>
  <si>
    <t>Base Funding - SWB</t>
  </si>
  <si>
    <t>Child care fees</t>
  </si>
  <si>
    <t>Professional learning costs</t>
  </si>
  <si>
    <t>Planning time</t>
  </si>
  <si>
    <t>Incentive Grant</t>
  </si>
  <si>
    <t>.</t>
  </si>
  <si>
    <t>Hide</t>
  </si>
  <si>
    <t>2025 KEY PERFORMANCE INDICATORS (KPIs) - HOME CHILD CARE AGENCIES</t>
  </si>
  <si>
    <t>Report KPIs related to homes in Peel only</t>
  </si>
  <si>
    <r>
      <rPr>
        <b/>
        <i/>
        <sz val="14"/>
        <color theme="1"/>
        <rFont val="Calibri"/>
        <family val="2"/>
      </rPr>
      <t xml:space="preserve">Instructions: </t>
    </r>
    <r>
      <rPr>
        <i/>
        <sz val="14"/>
        <color theme="1"/>
        <rFont val="Calibri"/>
        <family val="2"/>
      </rPr>
      <t xml:space="preserve">Fill out areas highlighted in green with the information being requested in the Data Element Required column. Please only enter information for </t>
    </r>
    <r>
      <rPr>
        <b/>
        <i/>
        <u/>
        <sz val="14"/>
        <color theme="1"/>
        <rFont val="Calibri"/>
        <family val="2"/>
      </rPr>
      <t>eligible children aged 0-6 only</t>
    </r>
  </si>
  <si>
    <t>Average Paid Vacation and Sick Days</t>
  </si>
  <si>
    <t>Data element required for 0-6 age group</t>
  </si>
  <si>
    <r>
      <t>Definition: </t>
    </r>
    <r>
      <rPr>
        <sz val="11"/>
        <color rgb="FF000000"/>
        <rFont val="Aptos"/>
        <family val="2"/>
      </rPr>
      <t> </t>
    </r>
  </si>
  <si>
    <t>KPI</t>
  </si>
  <si>
    <t>KPI1</t>
  </si>
  <si>
    <t>Actual Visitor Staff,  Average Paid Vacation Sick Days</t>
  </si>
  <si>
    <t>Average number of paid sick days and paid vacation days that home visitor staff were entitled to in the reporting year as per their employment contracts</t>
  </si>
  <si>
    <t xml:space="preserve">LHCC Base Funding (0-6) KPIs </t>
  </si>
  <si>
    <t>Data Element Required</t>
  </si>
  <si>
    <r>
      <t>Definition: </t>
    </r>
    <r>
      <rPr>
        <sz val="11"/>
        <color rgb="FF000000"/>
        <rFont val="Calibri"/>
        <family val="2"/>
      </rPr>
      <t> </t>
    </r>
  </si>
  <si>
    <t>KPI2</t>
  </si>
  <si>
    <t xml:space="preserve">Total Base Funding Paid </t>
  </si>
  <si>
    <t>Base Funding paid to eligible home visitor staff and home providers serving CWELCC eligible children</t>
  </si>
  <si>
    <t>KPI3</t>
  </si>
  <si>
    <t>Count of RECE home visitors supported by Base Funding wage enhancements</t>
  </si>
  <si>
    <t>Number of RECE home visitors supported with Base Funding wage enhancements supporting CWELCC eligible children</t>
  </si>
  <si>
    <t>KPI4</t>
  </si>
  <si>
    <t>Count of RECE home providers supported with Base Funding enhancements</t>
  </si>
  <si>
    <t>Number of home providers supported with Base Funding enhancements supporting CWELCC eligible children.</t>
  </si>
  <si>
    <t>LHCC WCF (0-6) KPIs</t>
  </si>
  <si>
    <t>KPI5</t>
  </si>
  <si>
    <t>Total LHCC Wage Stability wages paid to eligible home visitors</t>
  </si>
  <si>
    <r>
      <t>Total Wage Stability wages</t>
    </r>
    <r>
      <rPr>
        <sz val="12"/>
        <rFont val="Calibri"/>
        <family val="2"/>
      </rPr>
      <t xml:space="preserve"> paid out to eligible home visitors </t>
    </r>
    <r>
      <rPr>
        <sz val="12"/>
        <color theme="1"/>
        <rFont val="Calibri"/>
        <family val="2"/>
      </rPr>
      <t>serving CWELCC eligible children</t>
    </r>
  </si>
  <si>
    <t>KPI6</t>
  </si>
  <si>
    <t>Total LHCC WCF Wage floor and WCF Wage Increase wages paid to eligible home visitors</t>
  </si>
  <si>
    <t>Total WCF (Wage floor and Wage Increase) wages paid out to eligible home visitors serving CWELCC eligible children</t>
  </si>
  <si>
    <t>KPI7</t>
  </si>
  <si>
    <t>Count of RECE home visitors supported by Wage Stability</t>
  </si>
  <si>
    <t xml:space="preserve">Number of RECE home visitors serving CWELCC eligible children supported by the Wage Stability </t>
  </si>
  <si>
    <t>KPI8</t>
  </si>
  <si>
    <t>Count of RECE home visitors supported by WCF Wage Floor &amp; WCF Wage Increase</t>
  </si>
  <si>
    <t>Number of RECE home visitors serving CWELCC eligible children supported by the WCF Wage Floor &amp; WCF wage increase</t>
  </si>
  <si>
    <t>LHCC WEG &amp; HCCEG (0-6) KPIs</t>
  </si>
  <si>
    <t>KPI9</t>
  </si>
  <si>
    <t>Total LHCC HCCEG provider payment enhancement paid to eligible home providers</t>
  </si>
  <si>
    <t>Total HCCEG provider payment enhancement paid out to eligible home providers serving CWELCC eligible children</t>
  </si>
  <si>
    <t>KPI10</t>
  </si>
  <si>
    <t>Total LHCC WEG wages paid to eligible home visitors</t>
  </si>
  <si>
    <t>Total WEG wages paid out to eligible home visitors serving CWELCC eligible children</t>
  </si>
  <si>
    <t>KPI11</t>
  </si>
  <si>
    <t>Count of home providers eligible for full &amp; partial HCCEG enhancements supporting CWELCC children</t>
  </si>
  <si>
    <t>Number of eligible home providers eligible for full &amp; partial HCCEG enhancements ($20/day &amp; $10/day) supporting CWELCC eligible children</t>
  </si>
  <si>
    <t>KPI12</t>
  </si>
  <si>
    <t>Count of fully &amp; partially eligible staff FTEs (RECE Home Visitors) eligible for WEG supporting CWELCC children</t>
  </si>
  <si>
    <t>Number of fully &amp; partially eligible staff FTE’s eligible for WEG wage enhancements ($2 an hour). supporting CWELCC eligible children. One FTE is equivalent to 1,754.5 hours for the year</t>
  </si>
  <si>
    <t>LHCC WIF (0-6) KPIs</t>
  </si>
  <si>
    <t>KPI13</t>
  </si>
  <si>
    <t>Number of individuals supported with planning time:</t>
  </si>
  <si>
    <t>The number of home providers who were supported using funded planning time. Each individual is counted once.</t>
  </si>
  <si>
    <t>KPI14</t>
  </si>
  <si>
    <t>Number of individuals supported with paid professional learning costs:</t>
  </si>
  <si>
    <r>
      <t xml:space="preserve">Number of individuals supported with paid professional learning costs: the number of </t>
    </r>
    <r>
      <rPr>
        <b/>
        <sz val="12"/>
        <color theme="1"/>
        <rFont val="Calibri"/>
        <family val="2"/>
      </rPr>
      <t>home visitors</t>
    </r>
    <r>
      <rPr>
        <sz val="12"/>
        <color theme="1"/>
        <rFont val="Calibri"/>
        <family val="2"/>
      </rPr>
      <t xml:space="preserve"> who were supported using funded professional learning costs. Each individual is counted once.</t>
    </r>
  </si>
  <si>
    <t>KPI15</t>
  </si>
  <si>
    <r>
      <t xml:space="preserve">Number of individuals supported with paid professional learning costs: the number of </t>
    </r>
    <r>
      <rPr>
        <b/>
        <sz val="12"/>
        <color theme="1"/>
        <rFont val="Calibri"/>
        <family val="2"/>
      </rPr>
      <t xml:space="preserve">home providers </t>
    </r>
    <r>
      <rPr>
        <sz val="12"/>
        <color theme="1"/>
        <rFont val="Calibri"/>
        <family val="2"/>
      </rPr>
      <t>who were supported using funded professional learning costs. Each individual is counted once.</t>
    </r>
  </si>
  <si>
    <t>KPI16</t>
  </si>
  <si>
    <t>Number of individuals supported with the first LHCC Incentive Grant:</t>
  </si>
  <si>
    <t>The number of home providers who received the first LHCC Incentive Grant. Each provider is counted once.</t>
  </si>
  <si>
    <t>KPI17</t>
  </si>
  <si>
    <t>Number of individuals supported with the second LHCC Incentive Grant:</t>
  </si>
  <si>
    <t>The number of home providers who received the second LHCC Incentive Grant. Each home provider is counted once.</t>
  </si>
  <si>
    <t xml:space="preserve">Statement of Financial Position / Balance Sheet </t>
  </si>
  <si>
    <t>ASSETS</t>
  </si>
  <si>
    <t>CASH / BANK</t>
  </si>
  <si>
    <t>SHORT TERM INVESTMENTS</t>
  </si>
  <si>
    <t>110a</t>
  </si>
  <si>
    <t>ACCOUNTS RECEIVABLE (NET OF ALLOWANCE)</t>
  </si>
  <si>
    <t>DUE FROM REGION OF PEEL</t>
  </si>
  <si>
    <t>111a</t>
  </si>
  <si>
    <t>OTHERS</t>
  </si>
  <si>
    <t>TOTAL CURRENT ASSETS</t>
  </si>
  <si>
    <t>CAPITAL ASSETS (NET OF AMORTIZATION)</t>
  </si>
  <si>
    <t>TOTAL NON-CURRENT ASSETS (NET OF AMORTIZATION)</t>
  </si>
  <si>
    <t>DUE FROM SHAREHOLDER</t>
  </si>
  <si>
    <t>TOTAL ASSETS</t>
  </si>
  <si>
    <t>LIABILITIES</t>
  </si>
  <si>
    <t>BANK INDEBTEDNESS</t>
  </si>
  <si>
    <t>ACCOUNTS PAYABLE &amp; ACCRUED LIABILITIES</t>
  </si>
  <si>
    <t>DUE TO REGION OF PEEL</t>
  </si>
  <si>
    <t>211a</t>
  </si>
  <si>
    <t>DEFERRED REVENUE</t>
  </si>
  <si>
    <t>DEFERRED CONTRIBUTION FROM PEEL - OTEF Major Capital</t>
  </si>
  <si>
    <t>212a</t>
  </si>
  <si>
    <t>DEFERRED CONTRIBUTION FROM PEEL - Expansion funding</t>
  </si>
  <si>
    <t>212b</t>
  </si>
  <si>
    <t>SHORT TERM LOANS</t>
  </si>
  <si>
    <t>CURRENT LIABILITIES</t>
  </si>
  <si>
    <t>MORTGAGE</t>
  </si>
  <si>
    <t>Mortgage principal paid for the year on child care facilities in Peel.</t>
  </si>
  <si>
    <t>OTHER LOANS</t>
  </si>
  <si>
    <t>TOTAL NON-CURRENT LIABILITIES</t>
  </si>
  <si>
    <t>DUE TO SHAREHOLDER</t>
  </si>
  <si>
    <t>TOTAL LIABILITIES</t>
  </si>
  <si>
    <t>EQUITY / NET ASSETS</t>
  </si>
  <si>
    <t>RETAINED EARNINGS / ACCUMULATED SURPLUS (DEFICIT)</t>
  </si>
  <si>
    <t>OTHER RESERVE (IF APPLICABLE)</t>
  </si>
  <si>
    <t>TOTAL EQUITY OR NET ASSETS</t>
  </si>
  <si>
    <t>TOTAL LIABILITIES &amp; EQUITY OR NET ASSETS</t>
  </si>
  <si>
    <t>RETAINED EARNINGS / ACCUMULATED SURPLUS (DEFICIT) DETAILS</t>
  </si>
  <si>
    <t>RETAINED EARNINGS / ACCUMULATED SURPLUS (DEFICIT), BEGINNING BALANCE</t>
  </si>
  <si>
    <t>500a</t>
  </si>
  <si>
    <t>ADD: CURRENT INCOME (LOSS) / SURPLUS (DEFICITS)</t>
  </si>
  <si>
    <t>500b</t>
  </si>
  <si>
    <t>LESS: DIVIDENDS PAID</t>
  </si>
  <si>
    <t>500c</t>
  </si>
  <si>
    <t>500d</t>
  </si>
  <si>
    <t>RETAINED EARNINGS / ACCUMULATED SURPLUS (DEFICIT), ENDING BALANCE</t>
  </si>
  <si>
    <t>Statement of Operations / Income Statement (Related to Homes In Peel Only)</t>
  </si>
  <si>
    <t>For Calendar Year Jan 1 to Dec 31, 2025.</t>
  </si>
  <si>
    <t xml:space="preserve">
</t>
  </si>
  <si>
    <t>Important Note: Report revenue and expenses related to homes in Peel only. </t>
  </si>
  <si>
    <t>Enter information related to your Statement of Operations in green highlighted cells</t>
  </si>
  <si>
    <t>Licence number (enter exactly how it appears in the Child Care Licensing System)</t>
  </si>
  <si>
    <t>300a</t>
  </si>
  <si>
    <t>Licensee name (enter exactly how it appears in the Child Care Licensing System)</t>
  </si>
  <si>
    <t>300b</t>
  </si>
  <si>
    <t xml:space="preserve">For row 13, if other selected provide comment.  </t>
  </si>
  <si>
    <t>CWELCC enrolment date (enter as yyyy-mm-dd):</t>
  </si>
  <si>
    <t>300c</t>
  </si>
  <si>
    <t>For row 14, if you had a related party transaction, which expense line is it included on?</t>
  </si>
  <si>
    <t>How many months is the financial information for? (include Summer Breaks)</t>
  </si>
  <si>
    <t>300d</t>
  </si>
  <si>
    <t>For row 15, if normal operations was NOT selected provide comment.</t>
  </si>
  <si>
    <t>Total number of service days the agency was open during the calendar year</t>
  </si>
  <si>
    <t>300e</t>
  </si>
  <si>
    <t>Which city does your centre (site) operate in?</t>
  </si>
  <si>
    <t>300f</t>
  </si>
  <si>
    <t>What type of building does your head office operate from?</t>
  </si>
  <si>
    <t>300g</t>
  </si>
  <si>
    <t>300j</t>
  </si>
  <si>
    <t>Do you have any transactions that are to a related party?</t>
  </si>
  <si>
    <t>300h</t>
  </si>
  <si>
    <t>300k</t>
  </si>
  <si>
    <t>Select the best response for your organization for the fiscal year</t>
  </si>
  <si>
    <t>300i</t>
  </si>
  <si>
    <t>300l</t>
  </si>
  <si>
    <r>
      <t>REVENUE DETAILS</t>
    </r>
    <r>
      <rPr>
        <b/>
        <sz val="14"/>
        <color rgb="FFFF0000"/>
        <rFont val="Calibri"/>
        <family val="2"/>
        <scheme val="minor"/>
      </rPr>
      <t xml:space="preserve"> </t>
    </r>
    <r>
      <rPr>
        <b/>
        <sz val="11"/>
        <color rgb="FFFF0000"/>
        <rFont val="Calibri"/>
        <family val="2"/>
        <scheme val="minor"/>
      </rPr>
      <t>-</t>
    </r>
    <r>
      <rPr>
        <b/>
        <sz val="11"/>
        <color theme="5" tint="-0.249977111117893"/>
        <rFont val="Calibri"/>
        <family val="2"/>
        <scheme val="minor"/>
      </rPr>
      <t xml:space="preserve"> related to homes in Peel only</t>
    </r>
  </si>
  <si>
    <t>TOTAL</t>
  </si>
  <si>
    <t>0-6 Years
CWELCC</t>
  </si>
  <si>
    <t>Over 6 years
NON-CWELCC</t>
  </si>
  <si>
    <t xml:space="preserve">   2025 CWELCC Cost-Based Funding - used</t>
  </si>
  <si>
    <t xml:space="preserve">   2025 CWELCC – Allocation in Lieu of Profit/Surplus </t>
  </si>
  <si>
    <t xml:space="preserve">   2025 Base Fee Revenue Collected from Parents </t>
  </si>
  <si>
    <t xml:space="preserve">   2025 Child Care Fee Subsidy received from Peel</t>
  </si>
  <si>
    <t xml:space="preserve">   2025 School Age (6-12) Programs - Regional Funding - used</t>
  </si>
  <si>
    <t xml:space="preserve">   2025 Non-Base revenue for 0-6</t>
  </si>
  <si>
    <t xml:space="preserve">   2025 Life Long Learning Day October - used</t>
  </si>
  <si>
    <t xml:space="preserve">   2025 One-time Emergency Funding - Operating - used</t>
  </si>
  <si>
    <t>Refer to tab A3.  Peel Region Grants</t>
  </si>
  <si>
    <t>Emergency Funding - Capital</t>
  </si>
  <si>
    <t>does this effective CWELCC recon</t>
  </si>
  <si>
    <t xml:space="preserve">   2025 Program Staff top up - used</t>
  </si>
  <si>
    <t xml:space="preserve">   Other Regional Grants  - please specify </t>
  </si>
  <si>
    <t xml:space="preserve">   Other Revenue  - please specify  </t>
  </si>
  <si>
    <t xml:space="preserve">   TOTAL REVENUE</t>
  </si>
  <si>
    <t>EXPENSE DETAILS</t>
  </si>
  <si>
    <t>0-6</t>
  </si>
  <si>
    <t>OVER 6</t>
  </si>
  <si>
    <r>
      <t>Important Note: input the total expense -</t>
    </r>
    <r>
      <rPr>
        <b/>
        <sz val="11"/>
        <color theme="5" tint="-0.249977111117893"/>
        <rFont val="Calibri"/>
        <family val="2"/>
        <scheme val="minor"/>
      </rPr>
      <t xml:space="preserve"> related to homes in Peel only</t>
    </r>
  </si>
  <si>
    <t>CWELCC</t>
  </si>
  <si>
    <t>Non CWELCC</t>
  </si>
  <si>
    <t xml:space="preserve">Rationale and Calculations for Proration.  If overwriting proration formula rationale and calculations are mandatory. </t>
  </si>
  <si>
    <t xml:space="preserve">SALARY COSTS (SALARIES &amp; BENEFITS) </t>
  </si>
  <si>
    <t>Program Staff Total</t>
  </si>
  <si>
    <t>411a</t>
  </si>
  <si>
    <t>Actual Program Staffing, Wages by Employer</t>
  </si>
  <si>
    <t>411b</t>
  </si>
  <si>
    <t>Actual Visitor Staff, Wages by Employer</t>
  </si>
  <si>
    <t>Actual Program Staffing, General Operating Fund (GOF)</t>
  </si>
  <si>
    <t>411b(i)</t>
  </si>
  <si>
    <t>Actual Program Staffing, Wage Enhancement Grant (WEG)</t>
  </si>
  <si>
    <t>411c</t>
  </si>
  <si>
    <t>Actual Visitor Staff, WEG and Workforce Compensation</t>
  </si>
  <si>
    <t>Actual Program Staffing, Workforce Compensation</t>
  </si>
  <si>
    <t>411d</t>
  </si>
  <si>
    <t>Actual Program Staffing, Employee Statutory Obligations</t>
  </si>
  <si>
    <t>411e</t>
  </si>
  <si>
    <t>Actual Program Staffing, Employee Supplementary Benefits</t>
  </si>
  <si>
    <t>411f</t>
  </si>
  <si>
    <t>Actual Program Staffing, Other Costs - please specify</t>
  </si>
  <si>
    <t>411fg</t>
  </si>
  <si>
    <t>Visitor Staff</t>
  </si>
  <si>
    <t>411h</t>
  </si>
  <si>
    <t>411i</t>
  </si>
  <si>
    <t>Actual Visitor Staff, LHCC Base Funding Staff Wages Benefit (SWB)</t>
  </si>
  <si>
    <t>411i(i)</t>
  </si>
  <si>
    <t>Actual Visitor Staff, Wage Enhancement Grant (WEG)</t>
  </si>
  <si>
    <t>411j</t>
  </si>
  <si>
    <t>Actual Visitor Staff, Workforce Compensation</t>
  </si>
  <si>
    <t>411k</t>
  </si>
  <si>
    <t>Actual Visitor Staff, Employer Statutory Obligations</t>
  </si>
  <si>
    <t>411l</t>
  </si>
  <si>
    <t>Actual Visitor Staff, Employee Supplementary Benefits</t>
  </si>
  <si>
    <t>411m</t>
  </si>
  <si>
    <t>Actual Visitor Staff, Other Costs  - please specify</t>
  </si>
  <si>
    <t>411n</t>
  </si>
  <si>
    <t>Other Staff Wages</t>
  </si>
  <si>
    <t>411o</t>
  </si>
  <si>
    <t xml:space="preserve">Actual Non Program staff wages Salaries and Benefits </t>
  </si>
  <si>
    <t>411p</t>
  </si>
  <si>
    <t>Actual Non Program staff wages bonuses</t>
  </si>
  <si>
    <t>411q</t>
  </si>
  <si>
    <t>Actual Management Salaries &amp; Benefits (excluding management fee)</t>
  </si>
  <si>
    <t>411r</t>
  </si>
  <si>
    <t>Actual Management Bonuses (excluding management fee)</t>
  </si>
  <si>
    <t>411s</t>
  </si>
  <si>
    <t>Actual Controlling Owner/Directors or trustees Salaries &amp; Benefits (excluding management fee)</t>
  </si>
  <si>
    <t>411t</t>
  </si>
  <si>
    <t>Actual Controlling Owner/Directors or trustees bonuses (excluding management fee)</t>
  </si>
  <si>
    <t>411u</t>
  </si>
  <si>
    <t>Other - please specify</t>
  </si>
  <si>
    <t>411v</t>
  </si>
  <si>
    <t>OCCUPANCY</t>
  </si>
  <si>
    <t xml:space="preserve">   Rental of Office / Building</t>
  </si>
  <si>
    <t>421a</t>
  </si>
  <si>
    <t xml:space="preserve">   Property Tax</t>
  </si>
  <si>
    <t>421b</t>
  </si>
  <si>
    <t xml:space="preserve">   Property Insurance</t>
  </si>
  <si>
    <t>421c</t>
  </si>
  <si>
    <t xml:space="preserve">   Property Maintenance Fees</t>
  </si>
  <si>
    <t>421d</t>
  </si>
  <si>
    <t xml:space="preserve">   Mortgage Interest</t>
  </si>
  <si>
    <t>421e</t>
  </si>
  <si>
    <t xml:space="preserve">   Utilities</t>
  </si>
  <si>
    <t>421f</t>
  </si>
  <si>
    <t xml:space="preserve">   Other - please specify</t>
  </si>
  <si>
    <t>421g</t>
  </si>
  <si>
    <t>NUTRITION (PROGRAM RELATED)</t>
  </si>
  <si>
    <t xml:space="preserve">   Food Costs</t>
  </si>
  <si>
    <t>431a</t>
  </si>
  <si>
    <t xml:space="preserve">   Catering Service</t>
  </si>
  <si>
    <t>431b</t>
  </si>
  <si>
    <t>431c</t>
  </si>
  <si>
    <t>PROGRAM</t>
  </si>
  <si>
    <t xml:space="preserve">   Program Supplies</t>
  </si>
  <si>
    <t>441a</t>
  </si>
  <si>
    <t>441b</t>
  </si>
  <si>
    <t>GENERAL ADMINISTRATION</t>
  </si>
  <si>
    <t xml:space="preserve">   Advertising and Promotions</t>
  </si>
  <si>
    <t>451a</t>
  </si>
  <si>
    <t xml:space="preserve">   Amortization for Capital Assets (Eligible for Cost-Based funding)</t>
  </si>
  <si>
    <t>451b</t>
  </si>
  <si>
    <t xml:space="preserve">   Amortization for Capital Assets (Ineligible for Cost-Based Funding)</t>
  </si>
  <si>
    <t>451b(i)</t>
  </si>
  <si>
    <t xml:space="preserve">   Auditing </t>
  </si>
  <si>
    <t>451c</t>
  </si>
  <si>
    <t xml:space="preserve">   Bad Debts</t>
  </si>
  <si>
    <t>451d</t>
  </si>
  <si>
    <t xml:space="preserve">   Bookkeeping</t>
  </si>
  <si>
    <t>451e</t>
  </si>
  <si>
    <t xml:space="preserve">   Central Allocated Administration (for Multi-site Agencies)</t>
  </si>
  <si>
    <t>451f</t>
  </si>
  <si>
    <t xml:space="preserve">   Insurance</t>
  </si>
  <si>
    <t>451g</t>
  </si>
  <si>
    <t xml:space="preserve">   Interest (excluding mortgage interest)</t>
  </si>
  <si>
    <t>451h</t>
  </si>
  <si>
    <t xml:space="preserve">   Bank Charges</t>
  </si>
  <si>
    <t>451i</t>
  </si>
  <si>
    <t xml:space="preserve">   Legal</t>
  </si>
  <si>
    <t>451j</t>
  </si>
  <si>
    <t xml:space="preserve">   Management Fee </t>
  </si>
  <si>
    <t>451k</t>
  </si>
  <si>
    <t xml:space="preserve">   Office and General</t>
  </si>
  <si>
    <t>451l</t>
  </si>
  <si>
    <t xml:space="preserve">   Telephone &amp; Internet</t>
  </si>
  <si>
    <t>451m</t>
  </si>
  <si>
    <t xml:space="preserve">   Transportation</t>
  </si>
  <si>
    <t>451m(i)</t>
  </si>
  <si>
    <t xml:space="preserve">   Professional and Consulting Fees</t>
  </si>
  <si>
    <t>451n</t>
  </si>
  <si>
    <t xml:space="preserve">   Professional Dues</t>
  </si>
  <si>
    <t>451o</t>
  </si>
  <si>
    <t xml:space="preserve">   Professional Learning Costs </t>
  </si>
  <si>
    <t>451o(i)</t>
  </si>
  <si>
    <t>451p</t>
  </si>
  <si>
    <t>451q</t>
  </si>
  <si>
    <t>451r</t>
  </si>
  <si>
    <t xml:space="preserve">   Payment to Home Child Care Providers </t>
  </si>
  <si>
    <t>461a</t>
  </si>
  <si>
    <t xml:space="preserve">   Payment to Home Child Care Providers - Base Funding - Payments to provider</t>
  </si>
  <si>
    <t>461a(i)</t>
  </si>
  <si>
    <t xml:space="preserve">   Payment to Home Child Care Providers - Home Child Care Enhancement Grant (HCCEG)</t>
  </si>
  <si>
    <t>461a(ii)</t>
  </si>
  <si>
    <t xml:space="preserve">   Repairs &amp; Maintenance</t>
  </si>
  <si>
    <t>461b</t>
  </si>
  <si>
    <t xml:space="preserve">   Income Tax</t>
  </si>
  <si>
    <t>461c</t>
  </si>
  <si>
    <t xml:space="preserve">   Franchise fees </t>
  </si>
  <si>
    <t>461d</t>
  </si>
  <si>
    <t>461e</t>
  </si>
  <si>
    <t>Regional  OTEF expenses</t>
  </si>
  <si>
    <t xml:space="preserve">   One-time Emergency - Operating Funding Expense </t>
  </si>
  <si>
    <t>465a</t>
  </si>
  <si>
    <t>NON-BASE EXPENSES for 0-6 FAMILIES - Do not include these expenses in above Expenses</t>
  </si>
  <si>
    <t>Other (provide description)</t>
  </si>
  <si>
    <t>471(a)</t>
  </si>
  <si>
    <t>471(b)</t>
  </si>
  <si>
    <t>471(c)</t>
  </si>
  <si>
    <t>OTHER INELIGIBLE EXPENSES for 0-6 FAMILIES - Do not include these expenses in above Expenses</t>
  </si>
  <si>
    <t>481(a)</t>
  </si>
  <si>
    <t>481(b)</t>
  </si>
  <si>
    <t>481(c)</t>
  </si>
  <si>
    <t xml:space="preserve">   TOTAL EXPENSES</t>
  </si>
  <si>
    <t xml:space="preserve">   CURRENT INCOME (LOSS) OR SURPLUS (DEFICIENCY) </t>
  </si>
  <si>
    <t>Normal Operations</t>
  </si>
  <si>
    <t>First year of Operations</t>
  </si>
  <si>
    <t xml:space="preserve">Expanded Operations </t>
  </si>
  <si>
    <t>Extraordinary circumstances</t>
  </si>
  <si>
    <t>Other</t>
  </si>
  <si>
    <t>Brampton</t>
  </si>
  <si>
    <t>Mississauga</t>
  </si>
  <si>
    <t>Caledon</t>
  </si>
  <si>
    <t>Commercial</t>
  </si>
  <si>
    <t>Public School</t>
  </si>
  <si>
    <t>Place of worship</t>
  </si>
  <si>
    <t>Home Office</t>
  </si>
  <si>
    <t>FOR REVIEW ONLY</t>
  </si>
  <si>
    <t>2025 CWELCC Final Reconciliation</t>
  </si>
  <si>
    <t xml:space="preserve">  CWELCC Reconciliation</t>
  </si>
  <si>
    <t>Funding Received for CWELCC</t>
  </si>
  <si>
    <t>Funding Allocation</t>
  </si>
  <si>
    <t>In Lieu of Profit</t>
  </si>
  <si>
    <t>Less Base Fee Revenue offset</t>
  </si>
  <si>
    <t>Less: Actual Parent Revenue 0-6</t>
  </si>
  <si>
    <t>Less: Revenue received from Life Learning Day Fees 0-6</t>
  </si>
  <si>
    <t>Less: Child Care Fee Subsidy 0-6</t>
  </si>
  <si>
    <t>Actual Base Fee Revenue 0-6</t>
  </si>
  <si>
    <t>Allocation with Actual Base Fee Revenue Offset</t>
  </si>
  <si>
    <t xml:space="preserve">EXPENSES </t>
  </si>
  <si>
    <t>Column1</t>
  </si>
  <si>
    <t>Amounts</t>
  </si>
  <si>
    <t>Total 0-6 Years Expense from tab A6. Operations</t>
  </si>
  <si>
    <t>Adjustments</t>
  </si>
  <si>
    <t>Add Mortgage Principal</t>
  </si>
  <si>
    <t>Less:  One-time Emergency - Operating Funding  - Net Actual eligible project</t>
  </si>
  <si>
    <t xml:space="preserve">Less:  One-time Emergency - Operating Funding - Cost Share Contribution </t>
  </si>
  <si>
    <t>Less:  Actual Controlling Owner/Directors or trustees bonuses</t>
  </si>
  <si>
    <t>Less:  Amortization for Capital Assets (Ineligible for Cost-Based Funding)</t>
  </si>
  <si>
    <t>Less:  Income tax 0-6</t>
  </si>
  <si>
    <t>Less:  Professional Dues</t>
  </si>
  <si>
    <t>Less:  Non-Base Expenses for 0-6 Families</t>
  </si>
  <si>
    <t>Less:  Ineligible expenses for 0-6 Families</t>
  </si>
  <si>
    <t>Less:  Life Long Learning Day October 0-6</t>
  </si>
  <si>
    <t>Less:  2025 Program Staff Top-up Funding 0-6</t>
  </si>
  <si>
    <t>Less: Workforce Innovation Funding 0-6 (WIF)</t>
  </si>
  <si>
    <t>Total Adjustments</t>
  </si>
  <si>
    <t>Total Eligible expenses</t>
  </si>
  <si>
    <t xml:space="preserve">Total Program Cost Allocation </t>
  </si>
  <si>
    <t>Underspending of CWELCC program cost allocation</t>
  </si>
  <si>
    <t xml:space="preserve">Total Eligible Program Cost with OTEF adjustment </t>
  </si>
  <si>
    <t>Remaining Underspending</t>
  </si>
  <si>
    <t>CWELCC Repayable details</t>
  </si>
  <si>
    <t>ACTUAL CWELCC Repayable to Peel Consists of*:</t>
  </si>
  <si>
    <t>Underspending of Program Cost allocation</t>
  </si>
  <si>
    <t>Recalculation of In Lieu of Profit/Surplus</t>
  </si>
  <si>
    <t>Base Fee Revenue in Excess of Allocation</t>
  </si>
  <si>
    <t>Total:</t>
  </si>
  <si>
    <t>Repayable Calculation for Year End Reconciliation</t>
  </si>
  <si>
    <t>Below is a summary of repayable details.</t>
  </si>
  <si>
    <t xml:space="preserve">Step 1 CWELCC Funding Allocated </t>
  </si>
  <si>
    <t xml:space="preserve">Step 2a Actual CWELCC Program Cost based 
</t>
  </si>
  <si>
    <t>Lessor of:</t>
  </si>
  <si>
    <t xml:space="preserve">i. Total CWELCC eligible expenses </t>
  </si>
  <si>
    <r>
      <t>ii. Total program cost allocation</t>
    </r>
    <r>
      <rPr>
        <sz val="12"/>
        <color rgb="FFFF0000"/>
        <rFont val="Calibri"/>
        <family val="2"/>
        <scheme val="minor"/>
      </rPr>
      <t xml:space="preserve"> </t>
    </r>
  </si>
  <si>
    <t>Step 2b Add Amount in Lieu of Profit/Surplus based</t>
  </si>
  <si>
    <t>i. 4.25% x Step 2a</t>
  </si>
  <si>
    <t>ii. Add - 3.5% lesser of:</t>
  </si>
  <si>
    <t xml:space="preserve">         i. Step 2a</t>
  </si>
  <si>
    <t xml:space="preserve">         ii. Benchmark allocation</t>
  </si>
  <si>
    <t>Step 2c Less Actual Base Fee Revenue for 0-6</t>
  </si>
  <si>
    <t>Greater of:</t>
  </si>
  <si>
    <t xml:space="preserve">i. Expected base fee revenue offset </t>
  </si>
  <si>
    <r>
      <t>ii. Parental base fee revenue</t>
    </r>
    <r>
      <rPr>
        <b/>
        <sz val="12"/>
        <color rgb="FFFF0000"/>
        <rFont val="Calibri"/>
        <family val="2"/>
        <scheme val="minor"/>
      </rPr>
      <t xml:space="preserve"> </t>
    </r>
  </si>
  <si>
    <t>Total Step 2 Actual Cost-based Entitlement</t>
  </si>
  <si>
    <t>Actual CWELCC Repayable to the Region* (Step 1 - Step 2)</t>
  </si>
  <si>
    <t>OTEF Operating Reconciliation with Program Cost Funding adjustment details</t>
  </si>
  <si>
    <t>Application: Memo approval amounts</t>
  </si>
  <si>
    <t>Below amounts are being prepopulated from tab A3. Peel Region Grants</t>
  </si>
  <si>
    <t>Total OTEF Funding (CASH)</t>
  </si>
  <si>
    <t>Total Actual Cost of Project (maxed to approval amt)</t>
  </si>
  <si>
    <t>Less: 6-12 Age Group Portion</t>
  </si>
  <si>
    <t>Maximizing Program Cost Allocation (PCA)</t>
  </si>
  <si>
    <t>Available Underspending from PCA</t>
  </si>
  <si>
    <t>Underspending from Cost Based funding being used</t>
  </si>
  <si>
    <t>Your Cost Share Contribution from Program Cost Allocation</t>
  </si>
  <si>
    <t>Program Cost Allocation used for OTEF eligible costs</t>
  </si>
  <si>
    <t xml:space="preserve">  Your Cost Share Contribution </t>
  </si>
  <si>
    <t>OTEF Spent</t>
  </si>
  <si>
    <t>TOTAL NET ACTUAL PROJECT COST</t>
  </si>
  <si>
    <t>GovGrants Input</t>
  </si>
  <si>
    <t>Important Note:  If your agency receives funding from another SSM, Peel will confirm details with the secondary SSM, and your GovGrants recovery input may be revised.</t>
  </si>
  <si>
    <t>2025 CWELCC Cost-Based Funding Announcement</t>
  </si>
  <si>
    <t xml:space="preserve">Input yellow highlighted amounts in your GovGrants announcements.  </t>
  </si>
  <si>
    <t>#</t>
  </si>
  <si>
    <t xml:space="preserve">Budget Category </t>
  </si>
  <si>
    <t xml:space="preserve">Spent Previously </t>
  </si>
  <si>
    <t xml:space="preserve">Spent this Period </t>
  </si>
  <si>
    <t xml:space="preserve">Projected Spending for Remaining Periods </t>
  </si>
  <si>
    <t xml:space="preserve">Total Forecast </t>
  </si>
  <si>
    <t xml:space="preserve">Projected Year-to-Date Underspent </t>
  </si>
  <si>
    <t>Growth Top-Up</t>
  </si>
  <si>
    <t>Expected Base Fee Revenue Offset</t>
  </si>
  <si>
    <t>Actual Program Cost</t>
  </si>
  <si>
    <t xml:space="preserve">	2025 CWELCC – Allocation in Lieu of Profit/Surplus Announcement</t>
  </si>
  <si>
    <t xml:space="preserve">	2025 CWELCC One Time Emergency Funding Announcement</t>
  </si>
  <si>
    <t>OTEF Operating Funding</t>
  </si>
  <si>
    <t>OTEF Major Capital Funding</t>
  </si>
  <si>
    <t xml:space="preserve">Review this tab. 
</t>
  </si>
  <si>
    <t>Report any funding not prepopulated</t>
  </si>
  <si>
    <t>NOTE DISCLOSURE FOR FINANCIAL STATEMENTS</t>
  </si>
  <si>
    <t>SUMMARY OF RECONCILIATIONS - PEEL REGION</t>
  </si>
  <si>
    <t>Input any funding not listed in the other line. This information should match your note disclosure (new requirement see ACCOUNTING AND NOTE DISCLOSURE GUIDELINE FOR ACCOUNTANTS/AUDITORS) for funding received, funds spent, repayable to Peel and deferred in your Audited Financial Statements</t>
  </si>
  <si>
    <t>Grants</t>
  </si>
  <si>
    <t>Funds Received</t>
  </si>
  <si>
    <t>Funds Spent</t>
  </si>
  <si>
    <t>Repayable</t>
  </si>
  <si>
    <t>Deferred</t>
  </si>
  <si>
    <t>CWELCC Funding</t>
  </si>
  <si>
    <t>CWELCC : Cost Based Funding</t>
  </si>
  <si>
    <t>CWELCC : Allocation in Lieu of Profit/Surplus</t>
  </si>
  <si>
    <t>CWELCC : OTEF operating</t>
  </si>
  <si>
    <t>Total CWELCC (0-6) Funding</t>
  </si>
  <si>
    <t>Total School-Aged (6-12) Funding</t>
  </si>
  <si>
    <t>Life Long Learning Day Oct 24</t>
  </si>
  <si>
    <t>Capital Grants Funding</t>
  </si>
  <si>
    <t>Expansion Funding</t>
  </si>
  <si>
    <t>CWELCC OTEF - Capital</t>
  </si>
  <si>
    <t>Total Capital Grants Funding</t>
  </si>
  <si>
    <t>Other Funding</t>
  </si>
  <si>
    <t xml:space="preserve">Other - Please Specify  </t>
  </si>
  <si>
    <t>GRAND TOTAL</t>
  </si>
  <si>
    <t xml:space="preserve">For definitions, please refer to the FAIR guideline. </t>
  </si>
  <si>
    <t>Standardized Financial Report and Annual Attestation for Cost-Based Funding (CBF) - Agencies</t>
  </si>
  <si>
    <t>Basic Information</t>
  </si>
  <si>
    <t>Enter basic information in regards to the eligible home agency</t>
  </si>
  <si>
    <r>
      <t xml:space="preserve">Licence number </t>
    </r>
    <r>
      <rPr>
        <i/>
        <sz val="10.199999999999999"/>
        <color theme="1"/>
        <rFont val="Arial Nova"/>
        <family val="2"/>
      </rPr>
      <t>(enter exactly how it appears in the Child Care Licensing System):</t>
    </r>
  </si>
  <si>
    <t>A</t>
  </si>
  <si>
    <r>
      <t xml:space="preserve">Home agency name </t>
    </r>
    <r>
      <rPr>
        <i/>
        <sz val="10.199999999999999"/>
        <color theme="1"/>
        <rFont val="Arial Nova"/>
        <family val="2"/>
      </rPr>
      <t>:</t>
    </r>
  </si>
  <si>
    <t>B</t>
  </si>
  <si>
    <r>
      <rPr>
        <sz val="12"/>
        <color theme="1"/>
        <rFont val="Arial Nova"/>
        <family val="2"/>
      </rPr>
      <t>Licensee name</t>
    </r>
    <r>
      <rPr>
        <i/>
        <sz val="10"/>
        <color theme="1"/>
        <rFont val="Arial Nova"/>
        <family val="2"/>
      </rPr>
      <t xml:space="preserve"> (enter exactly how it appears in the Child Care Licensing System)</t>
    </r>
    <r>
      <rPr>
        <i/>
        <sz val="10.199999999999999"/>
        <color theme="1"/>
        <rFont val="Arial Nova"/>
        <family val="2"/>
      </rPr>
      <t>:</t>
    </r>
  </si>
  <si>
    <t>C</t>
  </si>
  <si>
    <r>
      <t>CWELCC enrolment date</t>
    </r>
    <r>
      <rPr>
        <i/>
        <sz val="10.199999999999999"/>
        <color theme="1"/>
        <rFont val="Arial Nova"/>
        <family val="2"/>
      </rPr>
      <t xml:space="preserve"> (enter as yyyy-mm-dd)</t>
    </r>
    <r>
      <rPr>
        <sz val="12"/>
        <color theme="1"/>
        <rFont val="Arial Nova"/>
        <family val="2"/>
      </rPr>
      <t>:</t>
    </r>
  </si>
  <si>
    <t>D</t>
  </si>
  <si>
    <r>
      <t>CMSM/DSSAB</t>
    </r>
    <r>
      <rPr>
        <i/>
        <sz val="10.199999999999999"/>
        <color theme="1"/>
        <rFont val="Arial Nova"/>
        <family val="2"/>
      </rPr>
      <t xml:space="preserve"> (select from drop-down)</t>
    </r>
    <r>
      <rPr>
        <sz val="12"/>
        <color theme="1"/>
        <rFont val="Arial Nova"/>
        <family val="2"/>
      </rPr>
      <t>:</t>
    </r>
  </si>
  <si>
    <t>Regional Municipality of Peel </t>
  </si>
  <si>
    <r>
      <t>EFIS ID</t>
    </r>
    <r>
      <rPr>
        <i/>
        <sz val="12"/>
        <rFont val="Arial Nova"/>
        <family val="2"/>
      </rPr>
      <t xml:space="preserve"> (auto poulated)</t>
    </r>
    <r>
      <rPr>
        <sz val="12"/>
        <rFont val="Arial Nova"/>
        <family val="2"/>
      </rPr>
      <t>:</t>
    </r>
  </si>
  <si>
    <t>E</t>
  </si>
  <si>
    <t>232 </t>
  </si>
  <si>
    <t>Reporting Year:</t>
  </si>
  <si>
    <t>F</t>
  </si>
  <si>
    <r>
      <t xml:space="preserve">Overseeing (CMSM/DSSAB where agency's headoffice is located) </t>
    </r>
    <r>
      <rPr>
        <i/>
        <sz val="10.199999999999999"/>
        <color theme="1"/>
        <rFont val="Arial Nova"/>
        <family val="2"/>
      </rPr>
      <t>(auto populated)</t>
    </r>
  </si>
  <si>
    <t>Financial Information</t>
  </si>
  <si>
    <t>Actual Base Fee Revenue Offset</t>
  </si>
  <si>
    <t>Enter the base fee revenue related to eligible children earned during the calendar year (include all homes, regardless of the home location)</t>
  </si>
  <si>
    <t>Actual Base Fee Revenue from Parents</t>
  </si>
  <si>
    <t>1FIN</t>
  </si>
  <si>
    <t>Actual Base Fee Revenue from Fee Subsidies</t>
  </si>
  <si>
    <t>2FIN</t>
  </si>
  <si>
    <t>Actual Program Costs</t>
  </si>
  <si>
    <t>Enter the sum of all eligible costs (attributable, appropriate and reasonable) incurred during the calendar year in respect of the eligible home agency</t>
  </si>
  <si>
    <t xml:space="preserve"> and net of any cost funded by another public source or reimbursed by another source. Include all active homes, regardless of the home location. </t>
  </si>
  <si>
    <t>Eligible Cost</t>
  </si>
  <si>
    <r>
      <t>Materiality</t>
    </r>
    <r>
      <rPr>
        <b/>
        <i/>
        <sz val="10.199999999999999"/>
        <rFont val="Arial Nova"/>
        <family val="2"/>
      </rPr>
      <t xml:space="preserve"> (calculated)</t>
    </r>
  </si>
  <si>
    <t>Actual Vistor Staff</t>
  </si>
  <si>
    <t>3FIN</t>
  </si>
  <si>
    <t>4FIN</t>
  </si>
  <si>
    <t>Actual Visitor Staff, Employee Statutory Obligations</t>
  </si>
  <si>
    <t>5FIN</t>
  </si>
  <si>
    <t>6FIN</t>
  </si>
  <si>
    <t>Actual Visitor Staff, Other Costs</t>
  </si>
  <si>
    <t>7FIN</t>
  </si>
  <si>
    <t>8FIN</t>
  </si>
  <si>
    <t>Home Provider Compensation Costs</t>
  </si>
  <si>
    <t>Home Provider Fees</t>
  </si>
  <si>
    <t>9FIN</t>
  </si>
  <si>
    <t>Agency Operations Cost</t>
  </si>
  <si>
    <t>Actual Operation, Salaries and Benefits for Staff, excluding Home Visitors</t>
  </si>
  <si>
    <t>10FIN</t>
  </si>
  <si>
    <t>Actual Operation, Bonuses for Staff, excluding Home Visitors</t>
  </si>
  <si>
    <t>11FIN</t>
  </si>
  <si>
    <t>Actual Operation, Food and catering</t>
  </si>
  <si>
    <t>12FIN</t>
  </si>
  <si>
    <t>Actual Operation, Utilities, Insurance, and Other Services (for example internet, phones, marketing)</t>
  </si>
  <si>
    <t>13FIN</t>
  </si>
  <si>
    <t>Actual Operation, Toys, Materials and Other Goods</t>
  </si>
  <si>
    <t>14FIN</t>
  </si>
  <si>
    <t>Actual Operation, Minor Repairs and Maintenance</t>
  </si>
  <si>
    <t>15FIN</t>
  </si>
  <si>
    <t>Actual Operation, Interest and Bank Charges (excluding mortgage interest)</t>
  </si>
  <si>
    <t>16FIN</t>
  </si>
  <si>
    <t>Actual Operation, Principal on Debt (excluding principal on mortgage)</t>
  </si>
  <si>
    <t>17FIN</t>
  </si>
  <si>
    <t>Actual Operation, Accommodation costs (including mortgage payment, occupancy costs, property taxes, etc.)</t>
  </si>
  <si>
    <t>18FIN</t>
  </si>
  <si>
    <t>Actual Operation, Other</t>
  </si>
  <si>
    <t>19FIN</t>
  </si>
  <si>
    <t>= Total sum of all eligible costs incurred for the eligible home agency, BEFORE one-time, unexpected costs</t>
  </si>
  <si>
    <t>Actual Cost Covered as per Approved One-Time Unexpected Cost</t>
  </si>
  <si>
    <t>29FIN</t>
  </si>
  <si>
    <t>= Total sum of all eligible costs incurred for the eligible home agency, AFTER one-time, unexpected costs</t>
  </si>
  <si>
    <t>30FIN</t>
  </si>
  <si>
    <t>Contact name for SFR (use first and last name)</t>
  </si>
  <si>
    <t>Phone Number for SFR contact</t>
  </si>
  <si>
    <t>Email Address for SFR contact</t>
  </si>
  <si>
    <t>1C</t>
  </si>
  <si>
    <t>2C</t>
  </si>
  <si>
    <t>3C</t>
  </si>
  <si>
    <t>SFR Signing Officer (use first and last name)</t>
  </si>
  <si>
    <t>4C</t>
  </si>
  <si>
    <t>SFR Sign-off Date</t>
  </si>
  <si>
    <t>5C</t>
  </si>
  <si>
    <t>CMSM/DSSAB</t>
  </si>
  <si>
    <r>
      <t>Agency name</t>
    </r>
    <r>
      <rPr>
        <i/>
        <sz val="10.199999999999999"/>
        <color theme="1"/>
        <rFont val="Arial Nova"/>
        <family val="2"/>
      </rPr>
      <t>:</t>
    </r>
  </si>
  <si>
    <t>Reporting Year</t>
  </si>
  <si>
    <t>Step 1: Funding Provided</t>
  </si>
  <si>
    <t>Enter the disbursements made to Licensee during the calendar year in respect of Cost-Based Funding Allocation</t>
  </si>
  <si>
    <r>
      <t xml:space="preserve">Disbursements to eligible agency in respect to Cost-Based Funding from all CMSMs/DSSABs (Overseeing and Secondary), and </t>
    </r>
    <r>
      <rPr>
        <sz val="12"/>
        <color theme="1"/>
        <rFont val="Arial Nova"/>
        <family val="2"/>
      </rPr>
      <t>reflective of any agreed upon reductions and net of in-year recoveries</t>
    </r>
  </si>
  <si>
    <t>1YND</t>
  </si>
  <si>
    <t>Disbursements to eligible home agency in respect to One-Time, Unexpected Costs</t>
  </si>
  <si>
    <t>2YND</t>
  </si>
  <si>
    <t>Enter the eligible home agency's elements of the Cost-Based Funding Allocation (or notional allocation), include any in-year adjustments.</t>
  </si>
  <si>
    <t>These amounts are typically included in service agreements between the licensee and the CMSM/DSSAB</t>
  </si>
  <si>
    <t>Benchmark Allocation from all CMSMs/DSSABs (Overseeing and Secondary)</t>
  </si>
  <si>
    <t>3YND</t>
  </si>
  <si>
    <t>Legacy Top-up Allocation</t>
  </si>
  <si>
    <t>4YND</t>
  </si>
  <si>
    <t>Growth Top-up Allocation from all CMSMs/DSSABs (Overseeing and Secondary)</t>
  </si>
  <si>
    <t>5YND</t>
  </si>
  <si>
    <t>= Program Costs Allocation</t>
  </si>
  <si>
    <t>Allocation in Lieu of Profit/Surplus from all CMSMs/DSSABs (Overseeing and Secondary)</t>
  </si>
  <si>
    <t>6YND</t>
  </si>
  <si>
    <t>Expected Base Fee Revenue Offset from all CMSMs/DSSABs (Overseeing and Secondary) (enter negative number)</t>
  </si>
  <si>
    <t>7YND</t>
  </si>
  <si>
    <t>= Cost-Based Funding Allocation</t>
  </si>
  <si>
    <t>Approved one-time, unexpected cost</t>
  </si>
  <si>
    <t>8YND</t>
  </si>
  <si>
    <t>Step 2: Actual Program Costs</t>
  </si>
  <si>
    <t>Calculate the Actual Program Costs as the lesser of the total sum of all eligible costs incurred for the eligible home agency and the Program Costs Allocation</t>
  </si>
  <si>
    <t>Total sum of all eligible costs incurred for the eligible home agency, before one-time, unexpected costs</t>
  </si>
  <si>
    <t>vs. Program Costs Allocation</t>
  </si>
  <si>
    <t xml:space="preserve">= Actual Program Costs </t>
  </si>
  <si>
    <t>9YND</t>
  </si>
  <si>
    <t>Step 3: Actual Amount in Lieu of Profit/Surplus</t>
  </si>
  <si>
    <t>Calculate the Actual Amount in Lieu of Profit/Surplus based on the Actual Program Costs (from Step 2)</t>
  </si>
  <si>
    <t>Base rate amount of 4.25% applied to the Actual Program Cost</t>
  </si>
  <si>
    <t>Plus, premium rate amount of 3.5% applied to the lesser of the Actual Program Cost and the benchmark allocation portion of the Program Cost Allocation</t>
  </si>
  <si>
    <t>Plus, a flat amount of $6,000 prorated by the whole number of months (partial or full) in the calendar year in which the eligible home agency participated in CWELCC, divided by 12</t>
  </si>
  <si>
    <t>= Actual Amount in Lieu of Profit Surplus</t>
  </si>
  <si>
    <t>10YND</t>
  </si>
  <si>
    <t>Step 4: Actual Base Fee Revenue Offset</t>
  </si>
  <si>
    <t>Calculate the Actual Base Fee Revenue Offset</t>
  </si>
  <si>
    <t>Base fee revenue - from parent/guardians</t>
  </si>
  <si>
    <t>Base fee revenue - from fee subsidies</t>
  </si>
  <si>
    <t>vs. Expected Base Fee Revenue Offset</t>
  </si>
  <si>
    <t>= Actual Base Fee Revenue</t>
  </si>
  <si>
    <t>11YND</t>
  </si>
  <si>
    <t>Step 5: Actual Cost-Based Funding</t>
  </si>
  <si>
    <t xml:space="preserve">Calculate Actual Cost-Based Funding </t>
  </si>
  <si>
    <t>Plus Actual Amount in Lieu of Profit Surplus</t>
  </si>
  <si>
    <t>Minus Actual Base Fee Revenue</t>
  </si>
  <si>
    <t>= Actual Cost-Based Funding</t>
  </si>
  <si>
    <t>12YND</t>
  </si>
  <si>
    <t>Step 6: Overpayment</t>
  </si>
  <si>
    <t>Calculate any overpayment payable to the CMSM/DSSAB in respect to Cost-Based Funding</t>
  </si>
  <si>
    <t xml:space="preserve">Disbursements to eligible home agency in respect to Cost-Based Funding, net of any in-year recoveries </t>
  </si>
  <si>
    <t>Actual Cost-Based Funding</t>
  </si>
  <si>
    <t>14YND</t>
  </si>
  <si>
    <t>Calculate any overpayment payable to the CMSM/DSSAB in respect to approved one-time, unexpected costs</t>
  </si>
  <si>
    <t>Cost incurred covered by approved one-time, unexpected cost</t>
  </si>
  <si>
    <t>Actual Cost to be covered by approved one-time, unexpected cost</t>
  </si>
  <si>
    <t>13YND</t>
  </si>
  <si>
    <t>Disbursements to eligible home agency in respect to one-time, unexpected costs</t>
  </si>
  <si>
    <t>15YND</t>
  </si>
  <si>
    <t>Calculate total overpayment payable to the CMSM/DSSAB</t>
  </si>
  <si>
    <t>Step 7: Rolling Top-Up Ratio</t>
  </si>
  <si>
    <t>Calculate Rolling Top-Up Ratio (applicable to existing active homes for 2026 CBF Allocation)</t>
  </si>
  <si>
    <t xml:space="preserve">Actual Program Costs </t>
  </si>
  <si>
    <t>Expected Base Fee Revenue Offset from all CMSMs/DSSABs (Overseeing and Secondary)</t>
  </si>
  <si>
    <t>16YND</t>
  </si>
  <si>
    <t>Provide the date when the CMSM/DSSAB closed-off the year-end reconciliation with the licensee</t>
  </si>
  <si>
    <t>17YND</t>
  </si>
  <si>
    <t>EFISID </t>
  </si>
  <si>
    <t>LicenceNumber </t>
  </si>
  <si>
    <t>CentreName </t>
  </si>
  <si>
    <t>LicenseeName </t>
  </si>
  <si>
    <t>EnrolmentDate </t>
  </si>
  <si>
    <t>RepYear</t>
  </si>
  <si>
    <t>Contact </t>
  </si>
  <si>
    <t>ContactNumber </t>
  </si>
  <si>
    <t>ContactEmail </t>
  </si>
  <si>
    <t>SignOfficer </t>
  </si>
  <si>
    <t>SignDate </t>
  </si>
  <si>
    <t>ActTtlAHDays </t>
  </si>
  <si>
    <t>ActAHDaysOver </t>
  </si>
  <si>
    <t>ActAHDaysSSM1 </t>
  </si>
  <si>
    <t>ActAHDaysSSM2 </t>
  </si>
  <si>
    <t>ActAHDaysSSM3 </t>
  </si>
  <si>
    <t>ActAHDaysSSM4 </t>
  </si>
  <si>
    <t>ActAHDaysSSM5 </t>
  </si>
  <si>
    <t>ActAHDaysSSM6 </t>
  </si>
  <si>
    <t>ActAHDaysSSM7 </t>
  </si>
  <si>
    <t>ActAHDaysSSM8 </t>
  </si>
  <si>
    <t>ActAHDaysSSM9 </t>
  </si>
  <si>
    <t>ActAHDaysSSM10 </t>
  </si>
  <si>
    <t>SecSSM1 </t>
  </si>
  <si>
    <t>SecSSM2 </t>
  </si>
  <si>
    <t>SecSSM3 </t>
  </si>
  <si>
    <t>SecSSM4 </t>
  </si>
  <si>
    <t>SecSSM5 </t>
  </si>
  <si>
    <t>SecSSM6 </t>
  </si>
  <si>
    <t>SecSSM7 </t>
  </si>
  <si>
    <t>SecSSM8 </t>
  </si>
  <si>
    <t>SecSSM9 </t>
  </si>
  <si>
    <t>SecSSM10 </t>
  </si>
  <si>
    <t>FeeRevParents </t>
  </si>
  <si>
    <t>FeeRevSubsds </t>
  </si>
  <si>
    <t>Vis1Wages </t>
  </si>
  <si>
    <t>Vis2WEnh </t>
  </si>
  <si>
    <t>Vis3BenStat </t>
  </si>
  <si>
    <t>Vis3BenSupp </t>
  </si>
  <si>
    <t>Vis9Other </t>
  </si>
  <si>
    <t>Vis99VacSckDays </t>
  </si>
  <si>
    <t>Provider1 </t>
  </si>
  <si>
    <t>Op1S&amp;BOther </t>
  </si>
  <si>
    <t>Op2Bonuses </t>
  </si>
  <si>
    <t>Op3Food </t>
  </si>
  <si>
    <t>Op4Serv </t>
  </si>
  <si>
    <t>Op5Goods </t>
  </si>
  <si>
    <t>Op6Rep&amp;Main </t>
  </si>
  <si>
    <t>Op7DebtFincng </t>
  </si>
  <si>
    <t>Op8DebtPrncpl </t>
  </si>
  <si>
    <t>Op9Accomm </t>
  </si>
  <si>
    <t>Op9Other </t>
  </si>
  <si>
    <t>OTC </t>
  </si>
  <si>
    <t>SNR</t>
  </si>
  <si>
    <t>DisbCBF </t>
  </si>
  <si>
    <t>DisbOTC </t>
  </si>
  <si>
    <t>AllocBMK </t>
  </si>
  <si>
    <t>AllocLTU </t>
  </si>
  <si>
    <t>AllocGTU </t>
  </si>
  <si>
    <t>AllocProfSurp </t>
  </si>
  <si>
    <t>AllocExpFeeRev </t>
  </si>
  <si>
    <t>AllocOTC </t>
  </si>
  <si>
    <t>ActPrgrmCosts </t>
  </si>
  <si>
    <t>ActP/S </t>
  </si>
  <si>
    <t>ActRevOffset </t>
  </si>
  <si>
    <t>ActCBF </t>
  </si>
  <si>
    <t>ActOTCost </t>
  </si>
  <si>
    <t>DueToFromSSMCBF </t>
  </si>
  <si>
    <t>DueToFromSSMOTC </t>
  </si>
  <si>
    <t>RollTopUpRatio</t>
  </si>
  <si>
    <t>YNDFinDate</t>
  </si>
  <si>
    <t>Deferred Contribution for OTEF</t>
  </si>
  <si>
    <r>
      <t>CMSM/DSSAB </t>
    </r>
    <r>
      <rPr>
        <sz val="10"/>
        <color rgb="FFFFFFFF"/>
        <rFont val="Arial Nova"/>
        <family val="2"/>
      </rPr>
      <t> </t>
    </r>
  </si>
  <si>
    <r>
      <t>EFIS ID</t>
    </r>
    <r>
      <rPr>
        <sz val="10"/>
        <color rgb="FFFFFFFF"/>
        <rFont val="Arial Nova"/>
        <family val="2"/>
      </rPr>
      <t> </t>
    </r>
  </si>
  <si>
    <r>
      <t>Short Name</t>
    </r>
    <r>
      <rPr>
        <sz val="10"/>
        <color rgb="FFFFFFFF"/>
        <rFont val="Arial Nova"/>
        <family val="2"/>
      </rPr>
      <t> </t>
    </r>
  </si>
  <si>
    <r>
      <t>Proper Name</t>
    </r>
    <r>
      <rPr>
        <sz val="10"/>
        <color rgb="FFFFFFFF"/>
        <rFont val="Arial Nova"/>
        <family val="2"/>
      </rPr>
      <t> </t>
    </r>
  </si>
  <si>
    <t>Algoma </t>
  </si>
  <si>
    <t>Algoma District Services Administration Board </t>
  </si>
  <si>
    <t>300 </t>
  </si>
  <si>
    <t>Brantford </t>
  </si>
  <si>
    <t>City of Brantford </t>
  </si>
  <si>
    <t>200 </t>
  </si>
  <si>
    <t>Bruce </t>
  </si>
  <si>
    <t>County of Bruce </t>
  </si>
  <si>
    <t>213 </t>
  </si>
  <si>
    <t>Chatham-Kent </t>
  </si>
  <si>
    <t>Municipality of Chatham-Kent </t>
  </si>
  <si>
    <t>227 </t>
  </si>
  <si>
    <t>Cochrane </t>
  </si>
  <si>
    <t>Cochrane District Social Services Administration Board </t>
  </si>
  <si>
    <t>301 </t>
  </si>
  <si>
    <t>Cornwall </t>
  </si>
  <si>
    <t>City of Cornwall </t>
  </si>
  <si>
    <t>201 </t>
  </si>
  <si>
    <t>Dufferin </t>
  </si>
  <si>
    <t>County of Dufferin </t>
  </si>
  <si>
    <t>214 </t>
  </si>
  <si>
    <t>Durham </t>
  </si>
  <si>
    <t>Regional Municipality of Durham </t>
  </si>
  <si>
    <t>229 </t>
  </si>
  <si>
    <t>Greater Sudbury </t>
  </si>
  <si>
    <t>City of Greater Sudbury </t>
  </si>
  <si>
    <t>202 </t>
  </si>
  <si>
    <t>Grey </t>
  </si>
  <si>
    <t>County of Grey </t>
  </si>
  <si>
    <t>215 </t>
  </si>
  <si>
    <t>Halton </t>
  </si>
  <si>
    <t>Regional Municipality of Halton </t>
  </si>
  <si>
    <t>230 </t>
  </si>
  <si>
    <t>Hamilton </t>
  </si>
  <si>
    <t>City of Hamilton </t>
  </si>
  <si>
    <t>203 </t>
  </si>
  <si>
    <t>Hastings </t>
  </si>
  <si>
    <t>County of Hastings </t>
  </si>
  <si>
    <t>216 </t>
  </si>
  <si>
    <t>Huron </t>
  </si>
  <si>
    <t>County of Huron </t>
  </si>
  <si>
    <t>217 </t>
  </si>
  <si>
    <t>Kawartha Lakes </t>
  </si>
  <si>
    <t>City of Kawartha Lakes </t>
  </si>
  <si>
    <t>204 </t>
  </si>
  <si>
    <t>Kenora </t>
  </si>
  <si>
    <t>Kenora District Services Board </t>
  </si>
  <si>
    <t>306 </t>
  </si>
  <si>
    <t>Kingston </t>
  </si>
  <si>
    <t>City of Kingston </t>
  </si>
  <si>
    <t>205 </t>
  </si>
  <si>
    <t>Lambton </t>
  </si>
  <si>
    <t>County of Lambton </t>
  </si>
  <si>
    <t>218 </t>
  </si>
  <si>
    <t>Lanark </t>
  </si>
  <si>
    <t>County of Lanark </t>
  </si>
  <si>
    <t>219 </t>
  </si>
  <si>
    <t>Leeds &amp; Grenville </t>
  </si>
  <si>
    <t>United Counties of Leeds &amp; Grenville </t>
  </si>
  <si>
    <t>235 </t>
  </si>
  <si>
    <t>Lennox &amp; Addington </t>
  </si>
  <si>
    <t>County of Lennox &amp; Addington </t>
  </si>
  <si>
    <t>220 </t>
  </si>
  <si>
    <t>London </t>
  </si>
  <si>
    <t>City of London </t>
  </si>
  <si>
    <t>206 </t>
  </si>
  <si>
    <t>Manitoulin-Sudbury </t>
  </si>
  <si>
    <t>Manitoulin-Sudbury District Services Board </t>
  </si>
  <si>
    <t>307 </t>
  </si>
  <si>
    <t>Muskoka </t>
  </si>
  <si>
    <t>District Municipality of Muskoka </t>
  </si>
  <si>
    <t>226 </t>
  </si>
  <si>
    <t>Niagara </t>
  </si>
  <si>
    <t>Regional Municipality of Niagara </t>
  </si>
  <si>
    <t>231 </t>
  </si>
  <si>
    <t>Nipissing </t>
  </si>
  <si>
    <t>Nipissing District Social Services Administration Board </t>
  </si>
  <si>
    <t>302 </t>
  </si>
  <si>
    <t>Norfolk County </t>
  </si>
  <si>
    <t>228 </t>
  </si>
  <si>
    <t>Northumberland </t>
  </si>
  <si>
    <t>County of Northumberland </t>
  </si>
  <si>
    <t>221 </t>
  </si>
  <si>
    <t>Ottawa </t>
  </si>
  <si>
    <t>City of Ottawa </t>
  </si>
  <si>
    <t>207 </t>
  </si>
  <si>
    <t>Oxford </t>
  </si>
  <si>
    <t>County of Oxford </t>
  </si>
  <si>
    <t>222 </t>
  </si>
  <si>
    <t>Parry Sound </t>
  </si>
  <si>
    <t>Parry Sound District Social Services Administration Board </t>
  </si>
  <si>
    <t>303 </t>
  </si>
  <si>
    <t>Peel </t>
  </si>
  <si>
    <t>Peterborough </t>
  </si>
  <si>
    <t>City of Peterborough </t>
  </si>
  <si>
    <t>208 </t>
  </si>
  <si>
    <t>Prescott &amp; Russell </t>
  </si>
  <si>
    <t>United Counties of Prescott &amp; Russell </t>
  </si>
  <si>
    <t>236 </t>
  </si>
  <si>
    <t>Rainy River </t>
  </si>
  <si>
    <t>Rainy River District Social Services Administration Board </t>
  </si>
  <si>
    <t>308 </t>
  </si>
  <si>
    <t>Renfrew </t>
  </si>
  <si>
    <t>County of Renfrew </t>
  </si>
  <si>
    <t>223 </t>
  </si>
  <si>
    <t>Sault Ste Marie </t>
  </si>
  <si>
    <t>Sault Ste Marie District Social Services Administration Board </t>
  </si>
  <si>
    <t>304 </t>
  </si>
  <si>
    <t>Simcoe </t>
  </si>
  <si>
    <t>County of Simcoe </t>
  </si>
  <si>
    <t>224 </t>
  </si>
  <si>
    <t>St. Thomas </t>
  </si>
  <si>
    <t>City of St. Thomas </t>
  </si>
  <si>
    <t>209 </t>
  </si>
  <si>
    <t>Stratford </t>
  </si>
  <si>
    <t>City of Stratford </t>
  </si>
  <si>
    <t>210 </t>
  </si>
  <si>
    <t>Thunder Bay </t>
  </si>
  <si>
    <t>Thunder Bay District Social Services Administration Board </t>
  </si>
  <si>
    <t>309 </t>
  </si>
  <si>
    <t>Timiskaming </t>
  </si>
  <si>
    <t>Timiskaming District Social Services Administration Board </t>
  </si>
  <si>
    <t>305 </t>
  </si>
  <si>
    <t>Toronto </t>
  </si>
  <si>
    <t>City of Toronto</t>
  </si>
  <si>
    <t>211 </t>
  </si>
  <si>
    <t>Waterloo </t>
  </si>
  <si>
    <t>Regional Municipality of Waterloo </t>
  </si>
  <si>
    <t>233 </t>
  </si>
  <si>
    <t>Wellington </t>
  </si>
  <si>
    <t>County of Wellington </t>
  </si>
  <si>
    <t>225 </t>
  </si>
  <si>
    <t>Windsor </t>
  </si>
  <si>
    <t>City of Windsor </t>
  </si>
  <si>
    <t>212 </t>
  </si>
  <si>
    <t>York </t>
  </si>
  <si>
    <t>Regional Municipality of York </t>
  </si>
  <si>
    <t>234 </t>
  </si>
  <si>
    <t>FP Health Score</t>
  </si>
  <si>
    <t>LIQUIDITY</t>
  </si>
  <si>
    <t>OUTPUT</t>
  </si>
  <si>
    <t>BENCHMARK</t>
  </si>
  <si>
    <t>SCORE RANGE</t>
  </si>
  <si>
    <t>SCORE</t>
  </si>
  <si>
    <t>WEIGHT</t>
  </si>
  <si>
    <t>WEIGHTED-SCORE</t>
  </si>
  <si>
    <t>1. CURRENT RATIO</t>
  </si>
  <si>
    <t>113/215</t>
  </si>
  <si>
    <t>&gt;1.0</t>
  </si>
  <si>
    <t>&lt;0.25 = 0</t>
  </si>
  <si>
    <t>&gt;=0.25 and &lt;1.0 = 50</t>
  </si>
  <si>
    <t>&gt;=1.0 = 100</t>
  </si>
  <si>
    <t>2. LIQUID ASSETS COVERAGE</t>
  </si>
  <si>
    <t>(110+110a+111)/(490-451b)x1/12)</t>
  </si>
  <si>
    <t>&gt;3 months</t>
  </si>
  <si>
    <t>&lt;1 = 0</t>
  </si>
  <si>
    <t>&gt;=1 and &lt;3 = 50</t>
  </si>
  <si>
    <t>&gt;=3 = 100</t>
  </si>
  <si>
    <t>LEVERAGE</t>
  </si>
  <si>
    <t>3. DEBT-TO-ASSET RATIO</t>
  </si>
  <si>
    <t>220/118</t>
  </si>
  <si>
    <t>&lt;0.4</t>
  </si>
  <si>
    <t>&gt;=0.6 = 0</t>
  </si>
  <si>
    <t>&gt;0.4 and &lt;0.6 = 50</t>
  </si>
  <si>
    <t>&lt;=0.4 = 100</t>
  </si>
  <si>
    <t>PROFITABILITY</t>
  </si>
  <si>
    <t>4. NET PROFIT MARGIN</t>
  </si>
  <si>
    <t>500b/330</t>
  </si>
  <si>
    <t>&gt;=6%</t>
  </si>
  <si>
    <t>&lt;0 = 0</t>
  </si>
  <si>
    <t>&gt;=0 and &lt;6% = 75</t>
  </si>
  <si>
    <t>&gt;=6% = 100</t>
  </si>
  <si>
    <t>FINAL SCORE &gt;&gt;&gt;</t>
  </si>
  <si>
    <t>Efficiency Measure</t>
  </si>
  <si>
    <t>5. General Admin Expense Ratio</t>
  </si>
  <si>
    <t>Total General Admin/Total Expense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</si>
</sst>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quot;$&quot;#,##0.00;[Red]\-&quot;$&quot;#,##0.00"/>
    <numFmt numFmtId="165" formatCode="_-&quot;$&quot;* #,##0.00_-;\-&quot;$&quot;* #,##0.00_-;_-&quot;$&quot;* &quot;-&quot;??_-;_-@_-"/>
    <numFmt numFmtId="166" formatCode="_-* #,##0.00_-;\-* #,##0.00_-;_-* &quot;-&quot;??_-;_-@_-"/>
    <numFmt numFmtId="167" formatCode="&quot;$&quot;#,##0;[Red]\(&quot;$&quot;#,##0\)"/>
    <numFmt numFmtId="168" formatCode="&quot;$&quot;#,##0.00"/>
    <numFmt numFmtId="169" formatCode="_-&quot;$&quot;* #,##0_-;\-&quot;$&quot;* #,##0_-;_-&quot;$&quot;* &quot;-&quot;??_-;_-@_-"/>
    <numFmt numFmtId="170" formatCode="&quot;$&quot;#,##0.00;[Red]&quot;$&quot;#,##0.00"/>
    <numFmt numFmtId="171" formatCode="&quot;$&quot;#,##0.0;[Red]&quot;$&quot;#,##0.0"/>
    <numFmt numFmtId="172" formatCode="0.0%"/>
    <numFmt numFmtId="173" formatCode="#,##0.00;[Red]#,##0.00"/>
    <numFmt numFmtId="174" formatCode="0.0"/>
    <numFmt numFmtId="175" formatCode="&quot;$&quot;#,##0.00;[Red]\(&quot;$&quot;#,##0.00\)"/>
    <numFmt numFmtId="176" formatCode="[$-F800]dddd\,\ mmmm\ dd\,\ yyyy"/>
    <numFmt numFmtId="177" formatCode="[&lt;=9999999]###\-####;###\-###\-####"/>
    <numFmt numFmtId="178" formatCode="yyyy/mm/dd;@"/>
    <numFmt numFmtId="179" formatCode="0.0000%"/>
    <numFmt numFmtId="180" formatCode="&quot;$&quot;#,##0;[Red]&quot;$&quot;#,##0"/>
    <numFmt numFmtId="181" formatCode="_-* #,##0_-;\-* #,##0_-;_-* &quot;-&quot;??_-;_-@_-"/>
  </numFmts>
  <fonts count="133">
    <font>
      <sz val="11"/>
      <color theme="1"/>
      <name val="Calibri"/>
      <family val="2"/>
      <scheme val="minor"/>
    </font>
    <font>
      <sz val="12"/>
      <color theme="1"/>
      <name val="Arial Nova"/>
      <family val="2"/>
    </font>
    <font>
      <b/>
      <sz val="12"/>
      <color theme="1"/>
      <name val="Arial Nova"/>
      <family val="2"/>
    </font>
    <font>
      <sz val="11"/>
      <color theme="1"/>
      <name val="Calibri"/>
      <family val="2"/>
      <scheme val="minor"/>
    </font>
    <font>
      <sz val="12"/>
      <name val="Arial Nova"/>
      <family val="2"/>
    </font>
    <font>
      <sz val="8"/>
      <name val="Calibri"/>
      <family val="2"/>
      <scheme val="minor"/>
    </font>
    <font>
      <sz val="11"/>
      <color indexed="81"/>
      <name val="Tahoma"/>
      <family val="2"/>
    </font>
    <font>
      <b/>
      <sz val="11"/>
      <color rgb="FF3F3F3F"/>
      <name val="Calibri"/>
      <family val="2"/>
      <scheme val="minor"/>
    </font>
    <font>
      <u/>
      <sz val="11"/>
      <color theme="10"/>
      <name val="Calibri"/>
      <family val="2"/>
      <scheme val="minor"/>
    </font>
    <font>
      <sz val="12"/>
      <color theme="1"/>
      <name val="Calibri"/>
      <family val="2"/>
      <scheme val="minor"/>
    </font>
    <font>
      <sz val="11"/>
      <name val="Calibri"/>
      <family val="2"/>
      <scheme val="minor"/>
    </font>
    <font>
      <sz val="10"/>
      <color rgb="FF3F3F76"/>
      <name val="Arial Nova"/>
      <family val="2"/>
    </font>
    <font>
      <b/>
      <sz val="10"/>
      <color rgb="FF3F3F3F"/>
      <name val="Arial Nova"/>
      <family val="2"/>
    </font>
    <font>
      <i/>
      <sz val="10"/>
      <color rgb="FF7F7F7F"/>
      <name val="Arial Nova"/>
      <family val="2"/>
    </font>
    <font>
      <sz val="11"/>
      <color theme="1"/>
      <name val="Aptos"/>
      <family val="2"/>
    </font>
    <font>
      <b/>
      <sz val="11"/>
      <color indexed="81"/>
      <name val="Tahoma"/>
      <family val="2"/>
    </font>
    <font>
      <b/>
      <sz val="11"/>
      <color theme="1"/>
      <name val="Calibri"/>
      <family val="2"/>
      <scheme val="minor"/>
    </font>
    <font>
      <sz val="11"/>
      <color theme="0"/>
      <name val="Calibri"/>
      <family val="2"/>
      <scheme val="minor"/>
    </font>
    <font>
      <b/>
      <sz val="18"/>
      <color theme="3"/>
      <name val="Calibri Light"/>
      <family val="2"/>
      <scheme val="major"/>
    </font>
    <font>
      <sz val="10"/>
      <name val="Arial"/>
      <family val="2"/>
    </font>
    <font>
      <b/>
      <u/>
      <sz val="11"/>
      <color theme="1"/>
      <name val="Calibri"/>
      <family val="2"/>
      <scheme val="minor"/>
    </font>
    <font>
      <i/>
      <sz val="11"/>
      <color theme="1"/>
      <name val="Calibri"/>
      <family val="2"/>
      <scheme val="minor"/>
    </font>
    <font>
      <b/>
      <sz val="11"/>
      <color rgb="FFFF0000"/>
      <name val="Calibri"/>
      <family val="2"/>
      <scheme val="minor"/>
    </font>
    <font>
      <b/>
      <sz val="12"/>
      <color theme="1"/>
      <name val="Calibri"/>
      <family val="2"/>
      <scheme val="minor"/>
    </font>
    <font>
      <b/>
      <sz val="14"/>
      <color rgb="FF000000"/>
      <name val="Aptos Narrow"/>
      <family val="2"/>
    </font>
    <font>
      <b/>
      <sz val="11"/>
      <color rgb="FF000000"/>
      <name val="Calibri"/>
      <family val="2"/>
      <scheme val="minor"/>
    </font>
    <font>
      <b/>
      <sz val="12"/>
      <color rgb="FFFF0000"/>
      <name val="Calibri"/>
      <family val="2"/>
      <scheme val="minor"/>
    </font>
    <font>
      <sz val="12"/>
      <name val="Calibri"/>
      <family val="2"/>
      <scheme val="minor"/>
    </font>
    <font>
      <sz val="12"/>
      <color rgb="FFFF0000"/>
      <name val="Calibri"/>
      <family val="2"/>
      <scheme val="minor"/>
    </font>
    <font>
      <sz val="12"/>
      <color theme="0"/>
      <name val="Calibri"/>
      <family val="2"/>
      <scheme val="minor"/>
    </font>
    <font>
      <b/>
      <sz val="14"/>
      <color theme="0"/>
      <name val="Calibri"/>
      <family val="2"/>
      <scheme val="minor"/>
    </font>
    <font>
      <b/>
      <sz val="12"/>
      <name val="Calibri"/>
      <family val="2"/>
      <scheme val="minor"/>
    </font>
    <font>
      <b/>
      <i/>
      <sz val="12"/>
      <name val="Calibri"/>
      <family val="2"/>
      <scheme val="minor"/>
    </font>
    <font>
      <sz val="10"/>
      <name val="Calibri"/>
      <family val="2"/>
      <scheme val="minor"/>
    </font>
    <font>
      <i/>
      <sz val="12"/>
      <name val="Calibri"/>
      <family val="2"/>
      <scheme val="minor"/>
    </font>
    <font>
      <i/>
      <sz val="12"/>
      <color theme="1"/>
      <name val="Calibri"/>
      <family val="2"/>
      <scheme val="minor"/>
    </font>
    <font>
      <b/>
      <sz val="14"/>
      <color theme="4" tint="-0.249977111117893"/>
      <name val="Calibri"/>
      <family val="2"/>
      <scheme val="minor"/>
    </font>
    <font>
      <b/>
      <sz val="14"/>
      <color theme="1"/>
      <name val="Calibri"/>
      <family val="2"/>
      <scheme val="minor"/>
    </font>
    <font>
      <b/>
      <sz val="18"/>
      <color theme="1"/>
      <name val="Calibri"/>
      <family val="2"/>
      <scheme val="minor"/>
    </font>
    <font>
      <b/>
      <sz val="12"/>
      <color theme="0"/>
      <name val="Calibri"/>
      <family val="2"/>
      <scheme val="minor"/>
    </font>
    <font>
      <b/>
      <sz val="16"/>
      <color theme="0"/>
      <name val="Calibri"/>
      <family val="2"/>
      <scheme val="minor"/>
    </font>
    <font>
      <b/>
      <sz val="16"/>
      <color rgb="FFFF0000"/>
      <name val="Calibri"/>
      <family val="2"/>
      <scheme val="minor"/>
    </font>
    <font>
      <b/>
      <sz val="16"/>
      <color theme="4" tint="-0.249977111117893"/>
      <name val="Calibri"/>
      <family val="2"/>
      <scheme val="minor"/>
    </font>
    <font>
      <b/>
      <sz val="18"/>
      <color theme="0"/>
      <name val="Calibri"/>
      <family val="2"/>
      <scheme val="minor"/>
    </font>
    <font>
      <sz val="18"/>
      <color theme="1"/>
      <name val="Calibri"/>
      <family val="2"/>
      <scheme val="minor"/>
    </font>
    <font>
      <b/>
      <sz val="10"/>
      <name val="Arial"/>
      <family val="2"/>
    </font>
    <font>
      <b/>
      <sz val="18"/>
      <name val="Arial"/>
      <family val="2"/>
    </font>
    <font>
      <b/>
      <sz val="14"/>
      <color theme="3"/>
      <name val="Calibri Light"/>
      <family val="2"/>
      <scheme val="major"/>
    </font>
    <font>
      <sz val="14"/>
      <color theme="1"/>
      <name val="Calibri"/>
      <family val="2"/>
      <scheme val="minor"/>
    </font>
    <font>
      <sz val="10"/>
      <color theme="1"/>
      <name val="Arial"/>
      <family val="2"/>
    </font>
    <font>
      <sz val="10"/>
      <color theme="1"/>
      <name val="Calibri"/>
      <family val="2"/>
      <scheme val="minor"/>
    </font>
    <font>
      <b/>
      <sz val="12"/>
      <color theme="1"/>
      <name val="Arial"/>
      <family val="2"/>
    </font>
    <font>
      <b/>
      <i/>
      <sz val="12"/>
      <color theme="1"/>
      <name val="Calibri"/>
      <family val="2"/>
      <scheme val="minor"/>
    </font>
    <font>
      <b/>
      <sz val="16"/>
      <color theme="1"/>
      <name val="Calibri"/>
      <family val="2"/>
      <scheme val="minor"/>
    </font>
    <font>
      <b/>
      <sz val="11"/>
      <name val="Calibri"/>
      <family val="2"/>
      <scheme val="minor"/>
    </font>
    <font>
      <b/>
      <sz val="11"/>
      <color rgb="FFFFFFFF"/>
      <name val="Calibri"/>
      <family val="2"/>
      <scheme val="minor"/>
    </font>
    <font>
      <b/>
      <i/>
      <sz val="12"/>
      <color theme="0"/>
      <name val="Calibri"/>
      <family val="2"/>
      <scheme val="minor"/>
    </font>
    <font>
      <b/>
      <sz val="7"/>
      <color rgb="FF333333"/>
      <name val="Helvetica"/>
    </font>
    <font>
      <b/>
      <sz val="7"/>
      <color rgb="FF000000"/>
      <name val="Helvetica"/>
    </font>
    <font>
      <sz val="7"/>
      <color rgb="FF333333"/>
      <name val="Helvetica"/>
    </font>
    <font>
      <sz val="9"/>
      <color rgb="FF00CC66"/>
      <name val="FontAwesome"/>
    </font>
    <font>
      <b/>
      <sz val="24"/>
      <color rgb="FF333333"/>
      <name val="Helvetica"/>
    </font>
    <font>
      <sz val="24"/>
      <color rgb="FF333333"/>
      <name val="Helvetica"/>
    </font>
    <font>
      <b/>
      <sz val="12"/>
      <color rgb="FF000000"/>
      <name val="Calibri"/>
      <family val="2"/>
      <scheme val="minor"/>
    </font>
    <font>
      <sz val="12"/>
      <color rgb="FF000000"/>
      <name val="Calibri"/>
      <family val="2"/>
      <scheme val="minor"/>
    </font>
    <font>
      <b/>
      <u/>
      <sz val="12"/>
      <color rgb="FF000000"/>
      <name val="Calibri"/>
      <family val="2"/>
      <scheme val="minor"/>
    </font>
    <font>
      <u/>
      <sz val="12"/>
      <color rgb="FF000000"/>
      <name val="Calibri"/>
      <family val="2"/>
      <scheme val="minor"/>
    </font>
    <font>
      <sz val="11"/>
      <color rgb="FF000000"/>
      <name val="Aptos"/>
      <family val="2"/>
    </font>
    <font>
      <b/>
      <sz val="18"/>
      <name val="Calibri"/>
      <family val="2"/>
      <scheme val="minor"/>
    </font>
    <font>
      <b/>
      <sz val="14"/>
      <name val="Calibri"/>
      <family val="2"/>
      <scheme val="minor"/>
    </font>
    <font>
      <b/>
      <sz val="14"/>
      <color rgb="FFFF0000"/>
      <name val="Calibri"/>
      <family val="2"/>
      <scheme val="minor"/>
    </font>
    <font>
      <b/>
      <i/>
      <sz val="12"/>
      <color rgb="FFFF0000"/>
      <name val="Calibri"/>
      <family val="2"/>
      <scheme val="minor"/>
    </font>
    <font>
      <b/>
      <sz val="16"/>
      <name val="Arial Nova"/>
      <family val="2"/>
    </font>
    <font>
      <sz val="12"/>
      <color rgb="FFFF0000"/>
      <name val="Arial Nova"/>
      <family val="2"/>
    </font>
    <font>
      <u val="singleAccounting"/>
      <sz val="12"/>
      <color rgb="FFFF0000"/>
      <name val="Calibri"/>
      <family val="2"/>
      <scheme val="minor"/>
    </font>
    <font>
      <b/>
      <sz val="12"/>
      <color rgb="FFFFFFFF"/>
      <name val="Calibri"/>
      <family val="2"/>
      <scheme val="minor"/>
    </font>
    <font>
      <b/>
      <sz val="18"/>
      <color theme="0"/>
      <name val="Arial Nova"/>
      <family val="2"/>
    </font>
    <font>
      <b/>
      <sz val="14"/>
      <color theme="1"/>
      <name val="Arial Nova"/>
      <family val="2"/>
    </font>
    <font>
      <b/>
      <sz val="16"/>
      <color theme="1"/>
      <name val="Arial Nova"/>
      <family val="2"/>
    </font>
    <font>
      <b/>
      <i/>
      <sz val="12"/>
      <color theme="9" tint="-0.249977111117893"/>
      <name val="Arial Nova"/>
      <family val="2"/>
    </font>
    <font>
      <b/>
      <u/>
      <sz val="14"/>
      <color theme="1"/>
      <name val="Arial Nova"/>
      <family val="2"/>
    </font>
    <font>
      <i/>
      <sz val="10.199999999999999"/>
      <color theme="1"/>
      <name val="Arial Nova"/>
      <family val="2"/>
    </font>
    <font>
      <b/>
      <i/>
      <sz val="12"/>
      <color theme="0"/>
      <name val="Arial Nova"/>
      <family val="2"/>
    </font>
    <font>
      <b/>
      <sz val="12"/>
      <color theme="8"/>
      <name val="Arial Nova"/>
      <family val="2"/>
    </font>
    <font>
      <b/>
      <i/>
      <sz val="12"/>
      <color theme="1"/>
      <name val="Arial Nova"/>
      <family val="2"/>
    </font>
    <font>
      <b/>
      <i/>
      <sz val="12"/>
      <name val="Arial Nova"/>
      <family val="2"/>
    </font>
    <font>
      <sz val="10"/>
      <color theme="1"/>
      <name val="Arial Nova"/>
      <family val="2"/>
    </font>
    <font>
      <b/>
      <sz val="12"/>
      <name val="Arial Nova"/>
      <family val="2"/>
    </font>
    <font>
      <b/>
      <i/>
      <sz val="12"/>
      <color rgb="FFC00000"/>
      <name val="Arial Nova"/>
      <family val="2"/>
    </font>
    <font>
      <i/>
      <sz val="12"/>
      <name val="Arial Nova"/>
      <family val="2"/>
    </font>
    <font>
      <b/>
      <sz val="12"/>
      <color rgb="FFC00000"/>
      <name val="Arial Nova"/>
      <family val="2"/>
    </font>
    <font>
      <b/>
      <i/>
      <sz val="12"/>
      <color theme="4"/>
      <name val="Arial Nova"/>
      <family val="2"/>
    </font>
    <font>
      <b/>
      <u/>
      <sz val="12"/>
      <color theme="1"/>
      <name val="Arial Nova"/>
      <family val="2"/>
    </font>
    <font>
      <b/>
      <i/>
      <sz val="12"/>
      <color rgb="FF0000FF"/>
      <name val="Arial Nova"/>
      <family val="2"/>
    </font>
    <font>
      <b/>
      <sz val="12"/>
      <color theme="4"/>
      <name val="Arial Nova"/>
      <family val="2"/>
    </font>
    <font>
      <b/>
      <sz val="12"/>
      <color rgb="FFFF0000"/>
      <name val="Arial Nova"/>
      <family val="2"/>
    </font>
    <font>
      <b/>
      <sz val="10"/>
      <color rgb="FFC00000"/>
      <name val="Arial Nova"/>
      <family val="2"/>
    </font>
    <font>
      <b/>
      <u/>
      <sz val="12"/>
      <name val="Arial Nova"/>
      <family val="2"/>
    </font>
    <font>
      <b/>
      <sz val="12"/>
      <color rgb="FF0000FF"/>
      <name val="Arial Nova"/>
      <family val="2"/>
    </font>
    <font>
      <sz val="10"/>
      <name val="Arial Nova"/>
      <family val="2"/>
    </font>
    <font>
      <b/>
      <sz val="11"/>
      <color theme="0"/>
      <name val="Calibri"/>
      <family val="2"/>
      <scheme val="minor"/>
    </font>
    <font>
      <b/>
      <i/>
      <sz val="11"/>
      <color rgb="FFC00000"/>
      <name val="Calibri"/>
      <family val="2"/>
      <scheme val="minor"/>
    </font>
    <font>
      <b/>
      <sz val="20"/>
      <color rgb="FFFF0000"/>
      <name val="Calibri"/>
      <family val="2"/>
      <scheme val="minor"/>
    </font>
    <font>
      <b/>
      <sz val="20"/>
      <color theme="0"/>
      <name val="Calibri"/>
      <family val="2"/>
      <scheme val="minor"/>
    </font>
    <font>
      <b/>
      <u/>
      <sz val="12"/>
      <color theme="1"/>
      <name val="Calibri"/>
      <family val="2"/>
      <scheme val="minor"/>
    </font>
    <font>
      <b/>
      <i/>
      <sz val="12"/>
      <color theme="4" tint="-0.249977111117893"/>
      <name val="Calibri"/>
      <family val="2"/>
      <scheme val="minor"/>
    </font>
    <font>
      <i/>
      <sz val="12"/>
      <color theme="4" tint="-0.249977111117893"/>
      <name val="Calibri"/>
      <family val="2"/>
      <scheme val="minor"/>
    </font>
    <font>
      <b/>
      <i/>
      <sz val="16"/>
      <color theme="4" tint="-0.249977111117893"/>
      <name val="Calibri"/>
      <family val="2"/>
      <scheme val="minor"/>
    </font>
    <font>
      <b/>
      <sz val="12"/>
      <color theme="4" tint="-0.249977111117893"/>
      <name val="Calibri"/>
      <family val="2"/>
      <scheme val="minor"/>
    </font>
    <font>
      <sz val="11"/>
      <color theme="1"/>
      <name val="Arial Nova"/>
      <family val="2"/>
    </font>
    <font>
      <b/>
      <sz val="18"/>
      <color theme="1"/>
      <name val="Arial Nova"/>
      <family val="2"/>
    </font>
    <font>
      <b/>
      <sz val="12"/>
      <color theme="0"/>
      <name val="Arial Nova"/>
      <family val="2"/>
    </font>
    <font>
      <b/>
      <i/>
      <sz val="10.8"/>
      <color theme="1"/>
      <name val="Arial Nova"/>
      <family val="2"/>
    </font>
    <font>
      <b/>
      <sz val="10"/>
      <color rgb="FFFFFFFF"/>
      <name val="Arial Nova"/>
      <family val="2"/>
    </font>
    <font>
      <sz val="10"/>
      <color rgb="FFFFFFFF"/>
      <name val="Arial Nova"/>
      <family val="2"/>
    </font>
    <font>
      <sz val="10"/>
      <color rgb="FF000000"/>
      <name val="Arial Nova"/>
      <family val="2"/>
    </font>
    <font>
      <i/>
      <sz val="12"/>
      <color theme="1"/>
      <name val="Arial Nova"/>
      <family val="2"/>
    </font>
    <font>
      <i/>
      <sz val="10"/>
      <color theme="1"/>
      <name val="Arial Nova"/>
      <family val="2"/>
    </font>
    <font>
      <b/>
      <i/>
      <sz val="10.199999999999999"/>
      <name val="Arial Nova"/>
      <family val="2"/>
    </font>
    <font>
      <sz val="12"/>
      <color rgb="FF3F3F3F"/>
      <name val="Arial Nova"/>
      <family val="2"/>
    </font>
    <font>
      <b/>
      <sz val="18"/>
      <color theme="0"/>
      <name val="Calibri"/>
      <family val="2"/>
    </font>
    <font>
      <i/>
      <sz val="14"/>
      <color theme="1"/>
      <name val="Calibri"/>
      <family val="2"/>
    </font>
    <font>
      <b/>
      <i/>
      <sz val="14"/>
      <color theme="1"/>
      <name val="Calibri"/>
      <family val="2"/>
    </font>
    <font>
      <b/>
      <i/>
      <u/>
      <sz val="14"/>
      <color theme="1"/>
      <name val="Calibri"/>
      <family val="2"/>
    </font>
    <font>
      <b/>
      <sz val="13"/>
      <color theme="1"/>
      <name val="Calibri"/>
      <family val="2"/>
    </font>
    <font>
      <sz val="11"/>
      <color rgb="FF000000"/>
      <name val="Calibri"/>
      <family val="2"/>
    </font>
    <font>
      <b/>
      <sz val="12"/>
      <color theme="1"/>
      <name val="Calibri"/>
      <family val="2"/>
    </font>
    <font>
      <sz val="12"/>
      <color theme="1"/>
      <name val="Calibri"/>
      <family val="2"/>
    </font>
    <font>
      <b/>
      <sz val="12"/>
      <name val="Calibri"/>
      <family val="2"/>
    </font>
    <font>
      <sz val="12"/>
      <name val="Calibri"/>
      <family val="2"/>
    </font>
    <font>
      <b/>
      <sz val="12"/>
      <color rgb="FFFF0000"/>
      <name val="Avenir Next LT Pro"/>
      <family val="2"/>
    </font>
    <font>
      <b/>
      <sz val="18"/>
      <color rgb="FFFF0000"/>
      <name val="Calibri"/>
      <family val="2"/>
    </font>
    <font>
      <b/>
      <sz val="11"/>
      <color theme="5" tint="-0.249977111117893"/>
      <name val="Calibri"/>
      <family val="2"/>
      <scheme val="minor"/>
    </font>
  </fonts>
  <fills count="35">
    <fill>
      <patternFill patternType="none"/>
    </fill>
    <fill>
      <patternFill patternType="gray125"/>
    </fill>
    <fill>
      <patternFill patternType="solid">
        <fgColor theme="9" tint="0.79998168889431442"/>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CC99"/>
      </patternFill>
    </fill>
    <fill>
      <patternFill patternType="solid">
        <fgColor rgb="FFF2F2F2"/>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rgb="FF00B050"/>
        <bgColor indexed="64"/>
      </patternFill>
    </fill>
    <fill>
      <patternFill patternType="solid">
        <fgColor theme="8" tint="-0.499984740745262"/>
        <bgColor indexed="64"/>
      </patternFill>
    </fill>
    <fill>
      <patternFill patternType="solid">
        <fgColor rgb="FF153D63"/>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theme="1"/>
        <bgColor indexed="64"/>
      </patternFill>
    </fill>
    <fill>
      <patternFill patternType="solid">
        <fgColor theme="3"/>
        <bgColor indexed="64"/>
      </patternFill>
    </fill>
    <fill>
      <patternFill patternType="solid">
        <fgColor theme="2"/>
        <bgColor indexed="64"/>
      </patternFill>
    </fill>
    <fill>
      <patternFill patternType="solid">
        <fgColor rgb="FFD6DCE4"/>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C000"/>
        <bgColor indexed="64"/>
      </patternFill>
    </fill>
    <fill>
      <patternFill patternType="solid">
        <fgColor rgb="FF2F5496"/>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305496"/>
        <bgColor indexed="64"/>
      </patternFill>
    </fill>
    <fill>
      <patternFill patternType="solid">
        <fgColor rgb="FFB4C6E7"/>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top/>
      <bottom style="double">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double">
        <color indexed="64"/>
      </bottom>
      <diagonal/>
    </border>
    <border>
      <left style="medium">
        <color indexed="64"/>
      </left>
      <right/>
      <top/>
      <bottom style="thin">
        <color indexed="64"/>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rgb="FF7F7F7F"/>
      </right>
      <top style="thin">
        <color rgb="FF7F7F7F"/>
      </top>
      <bottom style="thin">
        <color rgb="FF7F7F7F"/>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rgb="FF000000"/>
      </left>
      <right style="medium">
        <color rgb="FF000000"/>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style="thin">
        <color rgb="FF7F7F7F"/>
      </right>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indexed="64"/>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thick">
        <color indexed="64"/>
      </right>
      <top style="medium">
        <color auto="1"/>
      </top>
      <bottom style="medium">
        <color auto="1"/>
      </bottom>
      <diagonal/>
    </border>
    <border>
      <left style="thick">
        <color auto="1"/>
      </left>
      <right style="medium">
        <color auto="1"/>
      </right>
      <top style="medium">
        <color auto="1"/>
      </top>
      <bottom style="thick">
        <color indexed="64"/>
      </bottom>
      <diagonal/>
    </border>
    <border>
      <left style="medium">
        <color auto="1"/>
      </left>
      <right style="medium">
        <color auto="1"/>
      </right>
      <top style="medium">
        <color auto="1"/>
      </top>
      <bottom style="thick">
        <color indexed="64"/>
      </bottom>
      <diagonal/>
    </border>
    <border>
      <left style="medium">
        <color auto="1"/>
      </left>
      <right style="thick">
        <color indexed="64"/>
      </right>
      <top style="medium">
        <color auto="1"/>
      </top>
      <bottom style="thick">
        <color indexed="64"/>
      </bottom>
      <diagonal/>
    </border>
    <border>
      <left style="thin">
        <color theme="0" tint="-0.499984740745262"/>
      </left>
      <right style="medium">
        <color indexed="64"/>
      </right>
      <top style="thin">
        <color theme="0" tint="-0.499984740745262"/>
      </top>
      <bottom style="thin">
        <color theme="0" tint="-0.499984740745262"/>
      </bottom>
      <diagonal/>
    </border>
  </borders>
  <cellStyleXfs count="12">
    <xf numFmtId="0" fontId="0" fillId="0" borderId="0"/>
    <xf numFmtId="9" fontId="3" fillId="0" borderId="0" applyFont="0" applyFill="0" applyBorder="0" applyAlignment="0" applyProtection="0"/>
    <xf numFmtId="0" fontId="7" fillId="7" borderId="5" applyNumberFormat="0" applyAlignment="0" applyProtection="0"/>
    <xf numFmtId="0" fontId="8" fillId="0" borderId="0" applyNumberFormat="0" applyFill="0" applyBorder="0" applyAlignment="0" applyProtection="0"/>
    <xf numFmtId="0" fontId="9" fillId="0" borderId="0"/>
    <xf numFmtId="165" fontId="3" fillId="0" borderId="0" applyFont="0" applyFill="0" applyBorder="0" applyAlignment="0" applyProtection="0"/>
    <xf numFmtId="165" fontId="3" fillId="0" borderId="0" applyFont="0" applyFill="0" applyBorder="0" applyAlignment="0" applyProtection="0"/>
    <xf numFmtId="0" fontId="11" fillId="6" borderId="4" applyNumberFormat="0" applyAlignment="0" applyProtection="0"/>
    <xf numFmtId="0" fontId="12" fillId="7" borderId="5" applyNumberFormat="0" applyAlignment="0" applyProtection="0"/>
    <xf numFmtId="0" fontId="13" fillId="0" borderId="0" applyNumberFormat="0" applyFill="0" applyBorder="0" applyAlignment="0" applyProtection="0"/>
    <xf numFmtId="0" fontId="18" fillId="0" borderId="0" applyNumberFormat="0" applyFill="0" applyBorder="0" applyAlignment="0" applyProtection="0"/>
    <xf numFmtId="166" fontId="3" fillId="0" borderId="0" applyFont="0" applyFill="0" applyBorder="0" applyAlignment="0" applyProtection="0"/>
  </cellStyleXfs>
  <cellXfs count="1182">
    <xf numFmtId="0" fontId="0" fillId="0" borderId="0" xfId="0"/>
    <xf numFmtId="0" fontId="1" fillId="0" borderId="0" xfId="0" applyFont="1"/>
    <xf numFmtId="0" fontId="0" fillId="10" borderId="0" xfId="0" applyFill="1"/>
    <xf numFmtId="0" fontId="21" fillId="10" borderId="0" xfId="0" applyFont="1" applyFill="1"/>
    <xf numFmtId="0" fontId="21" fillId="0" borderId="0" xfId="0" applyFont="1"/>
    <xf numFmtId="0" fontId="16" fillId="10" borderId="0" xfId="0" applyFont="1" applyFill="1"/>
    <xf numFmtId="0" fontId="16" fillId="0" borderId="0" xfId="0" applyFont="1"/>
    <xf numFmtId="0" fontId="0" fillId="0" borderId="0" xfId="0" applyAlignment="1">
      <alignment wrapText="1"/>
    </xf>
    <xf numFmtId="0" fontId="9" fillId="10" borderId="0" xfId="0" applyFont="1" applyFill="1"/>
    <xf numFmtId="170" fontId="9" fillId="10" borderId="0" xfId="0" applyNumberFormat="1" applyFont="1" applyFill="1"/>
    <xf numFmtId="0" fontId="9" fillId="10" borderId="21" xfId="0" applyFont="1" applyFill="1" applyBorder="1"/>
    <xf numFmtId="0" fontId="23" fillId="10" borderId="0" xfId="0" applyFont="1" applyFill="1"/>
    <xf numFmtId="0" fontId="9" fillId="10" borderId="15" xfId="0" applyFont="1" applyFill="1" applyBorder="1"/>
    <xf numFmtId="0" fontId="9" fillId="0" borderId="0" xfId="0" applyFont="1"/>
    <xf numFmtId="0" fontId="23" fillId="10" borderId="21" xfId="0" applyFont="1" applyFill="1" applyBorder="1"/>
    <xf numFmtId="0" fontId="9" fillId="10" borderId="22" xfId="0" applyFont="1" applyFill="1" applyBorder="1"/>
    <xf numFmtId="0" fontId="9" fillId="10" borderId="23" xfId="0" applyFont="1" applyFill="1" applyBorder="1"/>
    <xf numFmtId="165" fontId="9" fillId="10" borderId="0" xfId="5" applyFont="1" applyFill="1" applyProtection="1"/>
    <xf numFmtId="0" fontId="28" fillId="10" borderId="15" xfId="0" applyFont="1" applyFill="1" applyBorder="1"/>
    <xf numFmtId="0" fontId="27" fillId="0" borderId="15" xfId="0" applyFont="1" applyBorder="1" applyAlignment="1">
      <alignment horizontal="left"/>
    </xf>
    <xf numFmtId="0" fontId="27" fillId="14" borderId="1" xfId="0" applyFont="1" applyFill="1" applyBorder="1" applyAlignment="1">
      <alignment horizontal="right"/>
    </xf>
    <xf numFmtId="167" fontId="27" fillId="0" borderId="1" xfId="0" applyNumberFormat="1" applyFont="1" applyBorder="1"/>
    <xf numFmtId="167" fontId="27" fillId="2" borderId="1" xfId="0" applyNumberFormat="1" applyFont="1" applyFill="1" applyBorder="1" applyProtection="1">
      <protection locked="0"/>
    </xf>
    <xf numFmtId="0" fontId="31" fillId="14" borderId="1" xfId="0" applyFont="1" applyFill="1" applyBorder="1" applyAlignment="1">
      <alignment horizontal="right"/>
    </xf>
    <xf numFmtId="0" fontId="31" fillId="10" borderId="15" xfId="0" applyFont="1" applyFill="1" applyBorder="1" applyAlignment="1">
      <alignment horizontal="left"/>
    </xf>
    <xf numFmtId="0" fontId="27" fillId="10" borderId="15" xfId="0" applyFont="1" applyFill="1" applyBorder="1" applyAlignment="1">
      <alignment horizontal="left"/>
    </xf>
    <xf numFmtId="167" fontId="27" fillId="2" borderId="36" xfId="0" applyNumberFormat="1" applyFont="1" applyFill="1" applyBorder="1" applyProtection="1">
      <protection locked="0"/>
    </xf>
    <xf numFmtId="0" fontId="27" fillId="10" borderId="15" xfId="0" applyFont="1" applyFill="1" applyBorder="1"/>
    <xf numFmtId="0" fontId="3" fillId="10" borderId="0" xfId="0" applyFont="1" applyFill="1"/>
    <xf numFmtId="0" fontId="3" fillId="0" borderId="0" xfId="0" applyFont="1"/>
    <xf numFmtId="0" fontId="33" fillId="10" borderId="15" xfId="0" applyFont="1" applyFill="1" applyBorder="1" applyAlignment="1">
      <alignment horizontal="left"/>
    </xf>
    <xf numFmtId="0" fontId="3" fillId="10" borderId="21" xfId="0" applyFont="1" applyFill="1" applyBorder="1"/>
    <xf numFmtId="0" fontId="32" fillId="10" borderId="15" xfId="0" applyFont="1" applyFill="1" applyBorder="1"/>
    <xf numFmtId="167" fontId="34" fillId="0" borderId="1" xfId="0" applyNumberFormat="1" applyFont="1" applyBorder="1"/>
    <xf numFmtId="0" fontId="35" fillId="10" borderId="0" xfId="0" applyFont="1" applyFill="1"/>
    <xf numFmtId="0" fontId="27" fillId="14" borderId="7" xfId="0" applyFont="1" applyFill="1" applyBorder="1" applyAlignment="1">
      <alignment horizontal="right"/>
    </xf>
    <xf numFmtId="167" fontId="27" fillId="2" borderId="7" xfId="0" applyNumberFormat="1" applyFont="1" applyFill="1" applyBorder="1" applyProtection="1">
      <protection locked="0"/>
    </xf>
    <xf numFmtId="0" fontId="34" fillId="10" borderId="15" xfId="0" applyFont="1" applyFill="1" applyBorder="1"/>
    <xf numFmtId="167" fontId="34" fillId="10" borderId="1" xfId="0" applyNumberFormat="1" applyFont="1" applyFill="1" applyBorder="1"/>
    <xf numFmtId="167" fontId="31" fillId="0" borderId="1" xfId="0" applyNumberFormat="1" applyFont="1" applyBorder="1"/>
    <xf numFmtId="0" fontId="9" fillId="14" borderId="1" xfId="0" applyFont="1" applyFill="1" applyBorder="1" applyAlignment="1">
      <alignment horizontal="right"/>
    </xf>
    <xf numFmtId="0" fontId="9" fillId="14" borderId="1" xfId="0" applyFont="1" applyFill="1" applyBorder="1"/>
    <xf numFmtId="0" fontId="31" fillId="10" borderId="15" xfId="0" applyFont="1" applyFill="1" applyBorder="1"/>
    <xf numFmtId="0" fontId="23" fillId="14" borderId="1" xfId="0" applyFont="1" applyFill="1" applyBorder="1"/>
    <xf numFmtId="167" fontId="9" fillId="10" borderId="1" xfId="0" applyNumberFormat="1" applyFont="1" applyFill="1" applyBorder="1"/>
    <xf numFmtId="167" fontId="9" fillId="2" borderId="1" xfId="0" applyNumberFormat="1" applyFont="1" applyFill="1" applyBorder="1" applyProtection="1">
      <protection locked="0"/>
    </xf>
    <xf numFmtId="167" fontId="23" fillId="0" borderId="1" xfId="0" applyNumberFormat="1" applyFont="1" applyBorder="1"/>
    <xf numFmtId="0" fontId="9" fillId="14" borderId="35" xfId="0" applyFont="1" applyFill="1" applyBorder="1"/>
    <xf numFmtId="167" fontId="9" fillId="10" borderId="35" xfId="0" applyNumberFormat="1" applyFont="1" applyFill="1" applyBorder="1"/>
    <xf numFmtId="0" fontId="9" fillId="10" borderId="24" xfId="0" applyFont="1" applyFill="1" applyBorder="1"/>
    <xf numFmtId="0" fontId="38" fillId="0" borderId="0" xfId="0" applyFont="1" applyAlignment="1">
      <alignment horizontal="left"/>
    </xf>
    <xf numFmtId="0" fontId="0" fillId="0" borderId="21" xfId="0" applyBorder="1"/>
    <xf numFmtId="165" fontId="0" fillId="0" borderId="0" xfId="0" applyNumberFormat="1"/>
    <xf numFmtId="0" fontId="43" fillId="0" borderId="0" xfId="10" applyFont="1" applyFill="1" applyBorder="1" applyAlignment="1" applyProtection="1">
      <alignment horizontal="center"/>
    </xf>
    <xf numFmtId="0" fontId="23" fillId="5" borderId="25" xfId="0" applyFont="1" applyFill="1" applyBorder="1" applyAlignment="1">
      <alignment vertical="center" wrapText="1"/>
    </xf>
    <xf numFmtId="0" fontId="27" fillId="10" borderId="15" xfId="0" applyFont="1" applyFill="1" applyBorder="1" applyAlignment="1">
      <alignment horizontal="right"/>
    </xf>
    <xf numFmtId="0" fontId="31" fillId="10" borderId="41" xfId="0" applyFont="1" applyFill="1" applyBorder="1" applyAlignment="1">
      <alignment horizontal="left"/>
    </xf>
    <xf numFmtId="0" fontId="23" fillId="5" borderId="15" xfId="0" applyFont="1" applyFill="1" applyBorder="1" applyAlignment="1">
      <alignment vertical="center" wrapText="1"/>
    </xf>
    <xf numFmtId="0" fontId="31" fillId="10" borderId="42" xfId="0" applyFont="1" applyFill="1" applyBorder="1"/>
    <xf numFmtId="167" fontId="31" fillId="10" borderId="0" xfId="0" applyNumberFormat="1" applyFont="1" applyFill="1"/>
    <xf numFmtId="0" fontId="23" fillId="5" borderId="26" xfId="0" applyFont="1" applyFill="1" applyBorder="1" applyAlignment="1">
      <alignment vertical="center" wrapText="1"/>
    </xf>
    <xf numFmtId="0" fontId="23" fillId="5" borderId="27" xfId="0" applyFont="1" applyFill="1" applyBorder="1" applyAlignment="1">
      <alignment vertical="center" wrapText="1"/>
    </xf>
    <xf numFmtId="0" fontId="23" fillId="5" borderId="21" xfId="0" applyFont="1" applyFill="1" applyBorder="1" applyAlignment="1">
      <alignment vertical="center" wrapText="1"/>
    </xf>
    <xf numFmtId="0" fontId="18" fillId="10" borderId="0" xfId="10" applyFill="1" applyProtection="1"/>
    <xf numFmtId="172" fontId="0" fillId="10" borderId="0" xfId="1" applyNumberFormat="1" applyFont="1" applyFill="1" applyAlignment="1" applyProtection="1">
      <alignment horizontal="center"/>
    </xf>
    <xf numFmtId="172" fontId="0" fillId="10" borderId="26" xfId="1" applyNumberFormat="1" applyFont="1" applyFill="1" applyBorder="1" applyAlignment="1" applyProtection="1">
      <alignment horizontal="center"/>
    </xf>
    <xf numFmtId="9" fontId="19" fillId="0" borderId="1" xfId="1" applyFont="1" applyFill="1" applyBorder="1" applyAlignment="1" applyProtection="1">
      <alignment horizontal="center"/>
    </xf>
    <xf numFmtId="10" fontId="19" fillId="0" borderId="1" xfId="1" applyNumberFormat="1" applyFont="1" applyFill="1" applyBorder="1" applyAlignment="1" applyProtection="1">
      <alignment horizontal="center"/>
    </xf>
    <xf numFmtId="172" fontId="49" fillId="0" borderId="0" xfId="1" applyNumberFormat="1" applyFont="1" applyFill="1" applyBorder="1" applyAlignment="1" applyProtection="1">
      <alignment horizontal="center"/>
    </xf>
    <xf numFmtId="172" fontId="45" fillId="10" borderId="0" xfId="1" applyNumberFormat="1" applyFont="1" applyFill="1" applyBorder="1" applyAlignment="1" applyProtection="1">
      <alignment horizontal="center"/>
    </xf>
    <xf numFmtId="172" fontId="0" fillId="10" borderId="23" xfId="1" applyNumberFormat="1" applyFont="1" applyFill="1" applyBorder="1" applyAlignment="1" applyProtection="1">
      <alignment horizontal="center"/>
    </xf>
    <xf numFmtId="0" fontId="0" fillId="0" borderId="15" xfId="0" applyBorder="1"/>
    <xf numFmtId="0" fontId="28" fillId="0" borderId="0" xfId="0" applyFont="1"/>
    <xf numFmtId="0" fontId="9" fillId="0" borderId="15" xfId="0" applyFont="1" applyBorder="1"/>
    <xf numFmtId="10" fontId="19" fillId="0" borderId="0" xfId="1" applyNumberFormat="1" applyFont="1" applyFill="1" applyBorder="1" applyAlignment="1" applyProtection="1">
      <alignment horizontal="center"/>
    </xf>
    <xf numFmtId="9" fontId="19" fillId="0" borderId="0" xfId="1" applyFont="1" applyFill="1" applyBorder="1" applyAlignment="1" applyProtection="1">
      <alignment horizontal="center"/>
    </xf>
    <xf numFmtId="0" fontId="9" fillId="0" borderId="21" xfId="0" applyFont="1" applyBorder="1"/>
    <xf numFmtId="0" fontId="9" fillId="0" borderId="24" xfId="0" applyFont="1" applyBorder="1"/>
    <xf numFmtId="0" fontId="23" fillId="0" borderId="15" xfId="0" applyFont="1" applyBorder="1"/>
    <xf numFmtId="0" fontId="52" fillId="0" borderId="0" xfId="0" applyFont="1" applyAlignment="1">
      <alignment horizontal="center"/>
    </xf>
    <xf numFmtId="0" fontId="9" fillId="0" borderId="15" xfId="0" applyFont="1" applyBorder="1" applyAlignment="1">
      <alignment horizontal="left" indent="1"/>
    </xf>
    <xf numFmtId="175" fontId="31" fillId="2" borderId="1" xfId="0" applyNumberFormat="1" applyFont="1" applyFill="1" applyBorder="1" applyProtection="1">
      <protection locked="0"/>
    </xf>
    <xf numFmtId="0" fontId="23" fillId="0" borderId="0" xfId="0" applyFont="1"/>
    <xf numFmtId="0" fontId="31" fillId="0" borderId="0" xfId="10" applyFont="1" applyFill="1" applyBorder="1" applyAlignment="1" applyProtection="1"/>
    <xf numFmtId="0" fontId="31" fillId="0" borderId="0" xfId="10" applyFont="1" applyFill="1" applyBorder="1" applyAlignment="1" applyProtection="1">
      <alignment vertical="top"/>
    </xf>
    <xf numFmtId="0" fontId="0" fillId="0" borderId="0" xfId="0" applyAlignment="1">
      <alignment horizontal="left"/>
    </xf>
    <xf numFmtId="0" fontId="0" fillId="0" borderId="0" xfId="0" applyAlignment="1">
      <alignment horizontal="left" vertical="top"/>
    </xf>
    <xf numFmtId="0" fontId="39" fillId="18" borderId="15" xfId="0" applyFont="1" applyFill="1" applyBorder="1"/>
    <xf numFmtId="0" fontId="23" fillId="14" borderId="15" xfId="0" applyFont="1" applyFill="1" applyBorder="1"/>
    <xf numFmtId="175" fontId="23" fillId="14" borderId="1" xfId="0" applyNumberFormat="1" applyFont="1" applyFill="1" applyBorder="1"/>
    <xf numFmtId="0" fontId="39" fillId="3" borderId="0" xfId="10" applyFont="1" applyFill="1" applyBorder="1" applyAlignment="1" applyProtection="1"/>
    <xf numFmtId="0" fontId="39" fillId="0" borderId="0" xfId="10" applyFont="1" applyFill="1" applyBorder="1" applyAlignment="1" applyProtection="1"/>
    <xf numFmtId="0" fontId="56" fillId="18" borderId="0" xfId="0" applyFont="1" applyFill="1" applyAlignment="1">
      <alignment horizontal="center"/>
    </xf>
    <xf numFmtId="0" fontId="43" fillId="3" borderId="0" xfId="10" applyFont="1" applyFill="1" applyBorder="1" applyAlignment="1" applyProtection="1"/>
    <xf numFmtId="0" fontId="28" fillId="0" borderId="21" xfId="0" applyFont="1" applyBorder="1"/>
    <xf numFmtId="175" fontId="28" fillId="2" borderId="1" xfId="0" applyNumberFormat="1" applyFont="1" applyFill="1" applyBorder="1" applyProtection="1">
      <protection locked="0"/>
    </xf>
    <xf numFmtId="0" fontId="27" fillId="0" borderId="1" xfId="0" applyFont="1" applyBorder="1" applyAlignment="1">
      <alignment horizontal="right"/>
    </xf>
    <xf numFmtId="0" fontId="27" fillId="0" borderId="15" xfId="0" applyFont="1" applyBorder="1"/>
    <xf numFmtId="167" fontId="27" fillId="2" borderId="53" xfId="0" applyNumberFormat="1" applyFont="1" applyFill="1" applyBorder="1" applyProtection="1">
      <protection locked="0"/>
    </xf>
    <xf numFmtId="0" fontId="27" fillId="2" borderId="15" xfId="0" applyFont="1" applyFill="1" applyBorder="1" applyAlignment="1" applyProtection="1">
      <alignment horizontal="left" indent="1"/>
      <protection locked="0"/>
    </xf>
    <xf numFmtId="0" fontId="69" fillId="0" borderId="0" xfId="0" applyFont="1" applyAlignment="1">
      <alignment horizontal="left"/>
    </xf>
    <xf numFmtId="0" fontId="70" fillId="0" borderId="0" xfId="0" applyFont="1"/>
    <xf numFmtId="0" fontId="31" fillId="14" borderId="54" xfId="0" applyFont="1" applyFill="1" applyBorder="1" applyAlignment="1">
      <alignment horizontal="right"/>
    </xf>
    <xf numFmtId="0" fontId="27" fillId="14" borderId="36" xfId="0" applyFont="1" applyFill="1" applyBorder="1" applyAlignment="1">
      <alignment horizontal="right"/>
    </xf>
    <xf numFmtId="0" fontId="27" fillId="14" borderId="55" xfId="0" applyFont="1" applyFill="1" applyBorder="1" applyAlignment="1">
      <alignment horizontal="right"/>
    </xf>
    <xf numFmtId="167" fontId="27" fillId="2" borderId="55" xfId="0" applyNumberFormat="1" applyFont="1" applyFill="1" applyBorder="1" applyProtection="1">
      <protection locked="0"/>
    </xf>
    <xf numFmtId="0" fontId="31" fillId="0" borderId="1" xfId="10" applyFont="1" applyFill="1" applyBorder="1" applyAlignment="1" applyProtection="1">
      <alignment horizontal="left" vertical="center"/>
    </xf>
    <xf numFmtId="0" fontId="0" fillId="12" borderId="1" xfId="0" applyFill="1" applyBorder="1" applyAlignment="1">
      <alignment horizontal="left" vertical="center"/>
    </xf>
    <xf numFmtId="0" fontId="31" fillId="0" borderId="3" xfId="10" applyFont="1" applyFill="1" applyBorder="1" applyAlignment="1" applyProtection="1">
      <alignment horizontal="left" vertical="center"/>
    </xf>
    <xf numFmtId="0" fontId="27" fillId="2" borderId="22" xfId="0" applyFont="1" applyFill="1" applyBorder="1" applyAlignment="1" applyProtection="1">
      <alignment horizontal="left"/>
      <protection locked="0"/>
    </xf>
    <xf numFmtId="0" fontId="27" fillId="14" borderId="70" xfId="0" applyFont="1" applyFill="1" applyBorder="1" applyAlignment="1">
      <alignment horizontal="right"/>
    </xf>
    <xf numFmtId="0" fontId="27" fillId="2" borderId="22" xfId="0" applyFont="1" applyFill="1" applyBorder="1" applyAlignment="1" applyProtection="1">
      <alignment horizontal="left" indent="1"/>
      <protection locked="0"/>
    </xf>
    <xf numFmtId="0" fontId="31" fillId="0" borderId="16" xfId="0" applyFont="1" applyBorder="1" applyAlignment="1">
      <alignment horizontal="left"/>
    </xf>
    <xf numFmtId="0" fontId="27" fillId="14" borderId="54" xfId="0" applyFont="1" applyFill="1" applyBorder="1" applyAlignment="1">
      <alignment horizontal="right"/>
    </xf>
    <xf numFmtId="0" fontId="26" fillId="10" borderId="0" xfId="0" applyFont="1" applyFill="1"/>
    <xf numFmtId="165" fontId="4" fillId="20" borderId="0" xfId="5" applyFont="1" applyFill="1" applyProtection="1"/>
    <xf numFmtId="165" fontId="79" fillId="0" borderId="0" xfId="5" applyFont="1" applyAlignment="1" applyProtection="1">
      <alignment horizontal="left"/>
    </xf>
    <xf numFmtId="165" fontId="4" fillId="0" borderId="0" xfId="5" applyFont="1" applyProtection="1"/>
    <xf numFmtId="165" fontId="4" fillId="0" borderId="0" xfId="5" applyFont="1" applyFill="1" applyProtection="1"/>
    <xf numFmtId="0" fontId="1" fillId="0" borderId="0" xfId="0" applyFont="1" applyAlignment="1">
      <alignment wrapText="1"/>
    </xf>
    <xf numFmtId="0" fontId="1" fillId="0" borderId="0" xfId="0" applyFont="1" applyAlignment="1">
      <alignment vertical="top"/>
    </xf>
    <xf numFmtId="0" fontId="1" fillId="0" borderId="0" xfId="0" applyFont="1" applyAlignment="1">
      <alignment horizontal="left" vertical="top" wrapText="1"/>
    </xf>
    <xf numFmtId="0" fontId="82" fillId="21" borderId="74" xfId="1" quotePrefix="1" applyNumberFormat="1" applyFont="1" applyFill="1" applyBorder="1" applyAlignment="1" applyProtection="1">
      <alignment horizontal="center" vertical="center"/>
    </xf>
    <xf numFmtId="9" fontId="83" fillId="0" borderId="0" xfId="1" quotePrefix="1" applyFont="1" applyAlignment="1" applyProtection="1">
      <alignment horizontal="left" vertical="top"/>
    </xf>
    <xf numFmtId="0" fontId="4" fillId="0" borderId="0" xfId="5" applyNumberFormat="1" applyFont="1" applyFill="1" applyBorder="1" applyAlignment="1" applyProtection="1">
      <alignment horizontal="center" vertical="top"/>
    </xf>
    <xf numFmtId="1" fontId="4" fillId="0" borderId="0" xfId="11" applyNumberFormat="1" applyFont="1" applyFill="1" applyBorder="1" applyAlignment="1" applyProtection="1">
      <alignment horizontal="center"/>
    </xf>
    <xf numFmtId="165" fontId="1" fillId="0" borderId="0" xfId="5" applyFont="1" applyProtection="1"/>
    <xf numFmtId="165" fontId="1" fillId="0" borderId="0" xfId="5" applyFont="1" applyFill="1" applyProtection="1"/>
    <xf numFmtId="165" fontId="4" fillId="0" borderId="0" xfId="5" applyFont="1" applyFill="1" applyBorder="1" applyAlignment="1" applyProtection="1">
      <alignment vertical="center"/>
    </xf>
    <xf numFmtId="165" fontId="4" fillId="0" borderId="0" xfId="5" applyFont="1" applyBorder="1" applyProtection="1"/>
    <xf numFmtId="165" fontId="87" fillId="0" borderId="0" xfId="5" applyFont="1" applyAlignment="1" applyProtection="1">
      <alignment horizontal="center" wrapText="1"/>
    </xf>
    <xf numFmtId="0" fontId="4" fillId="0" borderId="0" xfId="5" applyNumberFormat="1" applyFont="1" applyFill="1" applyBorder="1" applyAlignment="1" applyProtection="1">
      <alignment vertical="center"/>
    </xf>
    <xf numFmtId="165" fontId="87" fillId="0" borderId="0" xfId="5" applyFont="1" applyFill="1" applyBorder="1" applyAlignment="1" applyProtection="1">
      <alignment horizontal="center" vertical="center"/>
    </xf>
    <xf numFmtId="49" fontId="4" fillId="0" borderId="0" xfId="5" applyNumberFormat="1" applyFont="1" applyFill="1" applyBorder="1" applyAlignment="1" applyProtection="1">
      <alignment horizontal="center" vertical="center" wrapText="1"/>
    </xf>
    <xf numFmtId="165" fontId="1" fillId="0" borderId="0" xfId="5" applyFont="1" applyFill="1" applyBorder="1" applyProtection="1"/>
    <xf numFmtId="49" fontId="4" fillId="0" borderId="0" xfId="5" applyNumberFormat="1" applyFont="1" applyFill="1" applyBorder="1" applyAlignment="1" applyProtection="1">
      <alignment horizontal="center" vertical="center"/>
    </xf>
    <xf numFmtId="0" fontId="88" fillId="0" borderId="0" xfId="5" applyNumberFormat="1" applyFont="1" applyFill="1" applyBorder="1" applyAlignment="1" applyProtection="1">
      <alignment horizontal="left" vertical="center"/>
    </xf>
    <xf numFmtId="165" fontId="72" fillId="0" borderId="0" xfId="5" applyFont="1" applyFill="1" applyBorder="1" applyAlignment="1" applyProtection="1">
      <alignment vertical="top" wrapText="1"/>
    </xf>
    <xf numFmtId="165" fontId="4" fillId="0" borderId="0" xfId="5" applyFont="1" applyBorder="1" applyAlignment="1" applyProtection="1"/>
    <xf numFmtId="165" fontId="4" fillId="0" borderId="0" xfId="5" applyFont="1" applyAlignment="1" applyProtection="1">
      <alignment horizontal="left"/>
    </xf>
    <xf numFmtId="9" fontId="90" fillId="0" borderId="0" xfId="1" applyFont="1" applyAlignment="1" applyProtection="1">
      <alignment horizontal="left" vertical="top"/>
    </xf>
    <xf numFmtId="14" fontId="4" fillId="22" borderId="4" xfId="5" applyNumberFormat="1" applyFont="1" applyFill="1" applyBorder="1" applyAlignment="1" applyProtection="1">
      <alignment horizontal="left" vertical="top"/>
    </xf>
    <xf numFmtId="165" fontId="1" fillId="0" borderId="0" xfId="5" applyFont="1" applyAlignment="1" applyProtection="1">
      <alignment horizontal="left"/>
    </xf>
    <xf numFmtId="9" fontId="93" fillId="0" borderId="0" xfId="1" quotePrefix="1" applyFont="1" applyAlignment="1" applyProtection="1">
      <alignment horizontal="left" vertical="top"/>
    </xf>
    <xf numFmtId="165" fontId="93" fillId="0" borderId="0" xfId="1" quotePrefix="1" applyNumberFormat="1" applyFont="1" applyAlignment="1" applyProtection="1">
      <alignment horizontal="left" vertical="top"/>
    </xf>
    <xf numFmtId="9" fontId="94" fillId="0" borderId="0" xfId="1" quotePrefix="1" applyFont="1" applyAlignment="1" applyProtection="1">
      <alignment horizontal="left" vertical="top"/>
    </xf>
    <xf numFmtId="0" fontId="1" fillId="0" borderId="0" xfId="0" applyFont="1" applyAlignment="1">
      <alignment horizontal="left" vertical="center"/>
    </xf>
    <xf numFmtId="165" fontId="87" fillId="0" borderId="0" xfId="5" quotePrefix="1" applyFont="1" applyFill="1" applyBorder="1" applyAlignment="1" applyProtection="1">
      <alignment horizontal="left" vertical="center"/>
    </xf>
    <xf numFmtId="9" fontId="95" fillId="0" borderId="0" xfId="1" quotePrefix="1" applyFont="1" applyAlignment="1" applyProtection="1">
      <alignment horizontal="left" vertical="top"/>
    </xf>
    <xf numFmtId="9" fontId="94" fillId="0" borderId="0" xfId="1" applyFont="1" applyAlignment="1" applyProtection="1">
      <alignment horizontal="left" vertical="top"/>
    </xf>
    <xf numFmtId="9" fontId="96" fillId="0" borderId="0" xfId="1" applyFont="1" applyAlignment="1" applyProtection="1">
      <alignment horizontal="left" vertical="top"/>
    </xf>
    <xf numFmtId="165" fontId="4" fillId="0" borderId="0" xfId="5" applyFont="1" applyFill="1" applyBorder="1" applyAlignment="1" applyProtection="1">
      <alignment horizontal="left" vertical="center"/>
    </xf>
    <xf numFmtId="165" fontId="4" fillId="0" borderId="0" xfId="5" applyFont="1" applyFill="1" applyBorder="1" applyAlignment="1" applyProtection="1">
      <alignment horizontal="left" vertical="top"/>
    </xf>
    <xf numFmtId="165" fontId="4" fillId="0" borderId="0" xfId="5" quotePrefix="1" applyFont="1" applyFill="1" applyBorder="1" applyAlignment="1" applyProtection="1">
      <alignment horizontal="left" vertical="center"/>
    </xf>
    <xf numFmtId="9" fontId="90" fillId="0" borderId="0" xfId="1" quotePrefix="1" applyFont="1" applyAlignment="1" applyProtection="1">
      <alignment horizontal="left" vertical="top"/>
    </xf>
    <xf numFmtId="165" fontId="2" fillId="0" borderId="0" xfId="5" applyFont="1" applyFill="1" applyBorder="1" applyAlignment="1" applyProtection="1">
      <alignment horizontal="left"/>
    </xf>
    <xf numFmtId="165" fontId="98" fillId="0" borderId="0" xfId="5" applyFont="1" applyFill="1" applyBorder="1" applyAlignment="1" applyProtection="1">
      <alignment horizontal="left"/>
    </xf>
    <xf numFmtId="9" fontId="90" fillId="0" borderId="0" xfId="1" quotePrefix="1" applyFont="1" applyProtection="1"/>
    <xf numFmtId="9" fontId="93" fillId="0" borderId="0" xfId="1" applyFont="1" applyAlignment="1" applyProtection="1">
      <alignment horizontal="left" vertical="top"/>
    </xf>
    <xf numFmtId="165" fontId="4" fillId="0" borderId="0" xfId="5" applyFont="1" applyAlignment="1" applyProtection="1">
      <alignment horizontal="left" vertical="center"/>
    </xf>
    <xf numFmtId="165" fontId="90" fillId="0" borderId="0" xfId="1" applyNumberFormat="1" applyFont="1" applyAlignment="1" applyProtection="1">
      <alignment horizontal="left" vertical="top"/>
    </xf>
    <xf numFmtId="2" fontId="10" fillId="0" borderId="0" xfId="5" applyNumberFormat="1" applyFont="1" applyFill="1" applyBorder="1" applyAlignment="1" applyProtection="1">
      <alignment vertical="center"/>
    </xf>
    <xf numFmtId="165" fontId="10" fillId="0" borderId="0" xfId="5" applyFont="1" applyBorder="1" applyProtection="1"/>
    <xf numFmtId="165" fontId="0" fillId="0" borderId="0" xfId="5" applyFont="1" applyFill="1" applyBorder="1" applyProtection="1"/>
    <xf numFmtId="165" fontId="0" fillId="0" borderId="0" xfId="5" applyFont="1" applyBorder="1" applyProtection="1"/>
    <xf numFmtId="0" fontId="101" fillId="0" borderId="0" xfId="5" applyNumberFormat="1" applyFont="1" applyFill="1" applyBorder="1" applyAlignment="1" applyProtection="1">
      <alignment horizontal="left" vertical="center"/>
    </xf>
    <xf numFmtId="49" fontId="10" fillId="0" borderId="0" xfId="5" applyNumberFormat="1" applyFont="1" applyFill="1" applyBorder="1" applyAlignment="1" applyProtection="1">
      <alignment horizontal="center" vertical="center"/>
    </xf>
    <xf numFmtId="0" fontId="0" fillId="10" borderId="15" xfId="0" applyFill="1" applyBorder="1"/>
    <xf numFmtId="0" fontId="54" fillId="0" borderId="3" xfId="10" applyFont="1" applyFill="1" applyBorder="1" applyAlignment="1" applyProtection="1">
      <alignment horizontal="left" vertical="center"/>
    </xf>
    <xf numFmtId="0" fontId="27" fillId="10" borderId="17" xfId="0" applyFont="1" applyFill="1" applyBorder="1" applyAlignment="1">
      <alignment horizontal="left" indent="1"/>
    </xf>
    <xf numFmtId="164" fontId="0" fillId="0" borderId="0" xfId="0" applyNumberFormat="1"/>
    <xf numFmtId="1" fontId="27" fillId="0" borderId="0" xfId="5" applyNumberFormat="1" applyFont="1" applyFill="1" applyBorder="1" applyAlignment="1" applyProtection="1">
      <alignment vertical="top"/>
    </xf>
    <xf numFmtId="49" fontId="27" fillId="2" borderId="1" xfId="5" applyNumberFormat="1" applyFont="1" applyFill="1" applyBorder="1" applyAlignment="1" applyProtection="1">
      <alignment vertical="center"/>
      <protection locked="0"/>
    </xf>
    <xf numFmtId="176" fontId="27" fillId="2" borderId="1" xfId="5" applyNumberFormat="1" applyFont="1" applyFill="1" applyBorder="1" applyAlignment="1" applyProtection="1">
      <alignment horizontal="left" vertical="center"/>
      <protection locked="0"/>
    </xf>
    <xf numFmtId="1" fontId="4" fillId="2" borderId="79" xfId="11" applyNumberFormat="1" applyFont="1" applyFill="1" applyBorder="1" applyAlignment="1" applyProtection="1">
      <alignment horizontal="center"/>
      <protection locked="0"/>
    </xf>
    <xf numFmtId="1" fontId="4" fillId="2" borderId="2" xfId="11" applyNumberFormat="1" applyFont="1" applyFill="1" applyBorder="1" applyAlignment="1" applyProtection="1">
      <alignment horizontal="center"/>
      <protection locked="0"/>
    </xf>
    <xf numFmtId="176" fontId="4" fillId="2" borderId="2" xfId="11" applyNumberFormat="1" applyFont="1" applyFill="1" applyBorder="1" applyAlignment="1" applyProtection="1">
      <alignment horizontal="center"/>
      <protection locked="0"/>
    </xf>
    <xf numFmtId="0" fontId="18" fillId="10" borderId="0" xfId="10" applyFill="1" applyAlignment="1" applyProtection="1"/>
    <xf numFmtId="0" fontId="23" fillId="0" borderId="0" xfId="0" applyFont="1" applyAlignment="1">
      <alignment horizontal="left" wrapText="1"/>
    </xf>
    <xf numFmtId="0" fontId="0" fillId="10" borderId="0" xfId="0" applyFill="1" applyAlignment="1">
      <alignment horizontal="left"/>
    </xf>
    <xf numFmtId="0" fontId="0" fillId="10" borderId="21" xfId="0" applyFill="1" applyBorder="1"/>
    <xf numFmtId="0" fontId="23" fillId="10" borderId="15" xfId="0" applyFont="1" applyFill="1" applyBorder="1" applyAlignment="1">
      <alignment horizontal="left" indent="1"/>
    </xf>
    <xf numFmtId="0" fontId="27" fillId="14" borderId="2" xfId="0" applyFont="1" applyFill="1" applyBorder="1" applyAlignment="1">
      <alignment horizontal="right"/>
    </xf>
    <xf numFmtId="0" fontId="10" fillId="10" borderId="0" xfId="0" applyFont="1" applyFill="1"/>
    <xf numFmtId="0" fontId="10" fillId="0" borderId="0" xfId="0" applyFont="1"/>
    <xf numFmtId="0" fontId="23" fillId="0" borderId="15" xfId="0" applyFont="1" applyBorder="1" applyAlignment="1">
      <alignment horizontal="left" indent="1"/>
    </xf>
    <xf numFmtId="0" fontId="16" fillId="10" borderId="15" xfId="0" applyFont="1" applyFill="1" applyBorder="1" applyAlignment="1">
      <alignment horizontal="left" indent="1"/>
    </xf>
    <xf numFmtId="0" fontId="23" fillId="0" borderId="15" xfId="0" applyFont="1" applyBorder="1" applyAlignment="1">
      <alignment horizontal="right"/>
    </xf>
    <xf numFmtId="0" fontId="31" fillId="0" borderId="0" xfId="0" applyFont="1" applyAlignment="1">
      <alignment horizontal="left" vertical="center" wrapText="1"/>
    </xf>
    <xf numFmtId="0" fontId="23" fillId="10" borderId="15" xfId="0" applyFont="1" applyFill="1" applyBorder="1" applyAlignment="1">
      <alignment horizontal="right" indent="1"/>
    </xf>
    <xf numFmtId="0" fontId="104" fillId="0" borderId="15" xfId="0" applyFont="1" applyBorder="1"/>
    <xf numFmtId="0" fontId="0" fillId="0" borderId="21" xfId="0" applyBorder="1" applyAlignment="1">
      <alignment wrapText="1"/>
    </xf>
    <xf numFmtId="0" fontId="0" fillId="0" borderId="0" xfId="0" applyAlignment="1">
      <alignment horizontal="center"/>
    </xf>
    <xf numFmtId="0" fontId="0" fillId="0" borderId="22" xfId="0" applyBorder="1"/>
    <xf numFmtId="0" fontId="0" fillId="0" borderId="23" xfId="0" applyBorder="1"/>
    <xf numFmtId="0" fontId="0" fillId="0" borderId="24" xfId="0" applyBorder="1" applyAlignment="1">
      <alignment wrapText="1"/>
    </xf>
    <xf numFmtId="0" fontId="16" fillId="10" borderId="0" xfId="0" applyFont="1" applyFill="1" applyAlignment="1">
      <alignment horizontal="left" indent="1"/>
    </xf>
    <xf numFmtId="0" fontId="39" fillId="3" borderId="1" xfId="0" applyFont="1" applyFill="1" applyBorder="1" applyAlignment="1">
      <alignment horizontal="center" vertical="center" wrapText="1"/>
    </xf>
    <xf numFmtId="0" fontId="16" fillId="25" borderId="1" xfId="0" applyFont="1" applyFill="1" applyBorder="1" applyAlignment="1">
      <alignment horizontal="center" vertical="center"/>
    </xf>
    <xf numFmtId="0" fontId="10" fillId="10" borderId="0" xfId="0" applyFont="1" applyFill="1" applyAlignment="1">
      <alignment vertical="center" wrapText="1"/>
    </xf>
    <xf numFmtId="0" fontId="16" fillId="25" borderId="1" xfId="0" applyFont="1" applyFill="1" applyBorder="1" applyAlignment="1">
      <alignment horizontal="center" vertical="center" wrapText="1"/>
    </xf>
    <xf numFmtId="0" fontId="0" fillId="10" borderId="0" xfId="0" applyFill="1" applyAlignment="1">
      <alignment vertical="center" wrapText="1"/>
    </xf>
    <xf numFmtId="0" fontId="16" fillId="26" borderId="1" xfId="0" applyFont="1" applyFill="1" applyBorder="1" applyAlignment="1">
      <alignment horizontal="center" vertical="center" wrapText="1"/>
    </xf>
    <xf numFmtId="0" fontId="10" fillId="0" borderId="0" xfId="0" applyFont="1" applyAlignment="1">
      <alignment vertical="center" wrapText="1"/>
    </xf>
    <xf numFmtId="0" fontId="0" fillId="0" borderId="0" xfId="0" applyAlignment="1">
      <alignment vertical="center" wrapText="1"/>
    </xf>
    <xf numFmtId="0" fontId="16" fillId="27" borderId="1" xfId="0" applyFont="1" applyFill="1" applyBorder="1" applyAlignment="1">
      <alignment horizontal="center" vertical="center" wrapText="1"/>
    </xf>
    <xf numFmtId="0" fontId="20" fillId="12" borderId="7" xfId="0" applyFont="1" applyFill="1" applyBorder="1" applyAlignment="1">
      <alignment horizontal="left" indent="1"/>
    </xf>
    <xf numFmtId="0" fontId="16" fillId="12" borderId="6" xfId="0" applyFont="1" applyFill="1" applyBorder="1" applyAlignment="1">
      <alignment horizontal="left" indent="1"/>
    </xf>
    <xf numFmtId="0" fontId="10" fillId="14" borderId="1" xfId="0" applyFont="1" applyFill="1" applyBorder="1" applyAlignment="1">
      <alignment horizontal="right"/>
    </xf>
    <xf numFmtId="0" fontId="0" fillId="12" borderId="1" xfId="0" applyFill="1" applyBorder="1" applyAlignment="1">
      <alignment horizontal="center"/>
    </xf>
    <xf numFmtId="0" fontId="100" fillId="0" borderId="0" xfId="0" applyFont="1" applyAlignment="1">
      <alignment horizontal="center" vertical="center"/>
    </xf>
    <xf numFmtId="0" fontId="17" fillId="0" borderId="0" xfId="0" applyFont="1"/>
    <xf numFmtId="0" fontId="17" fillId="0" borderId="0" xfId="0" applyFont="1" applyAlignment="1">
      <alignment horizontal="left"/>
    </xf>
    <xf numFmtId="0" fontId="17" fillId="10" borderId="0" xfId="0" applyFont="1" applyFill="1"/>
    <xf numFmtId="0" fontId="23" fillId="0" borderId="0" xfId="0" applyFont="1" applyAlignment="1">
      <alignment horizontal="left" vertical="center" wrapText="1"/>
    </xf>
    <xf numFmtId="0" fontId="105" fillId="0" borderId="0" xfId="0" applyFont="1"/>
    <xf numFmtId="0" fontId="23" fillId="0" borderId="0" xfId="0" applyFont="1" applyAlignment="1">
      <alignment wrapText="1"/>
    </xf>
    <xf numFmtId="0" fontId="30" fillId="16" borderId="1" xfId="0" applyFont="1" applyFill="1" applyBorder="1" applyAlignment="1">
      <alignment horizontal="center" vertical="center"/>
    </xf>
    <xf numFmtId="0" fontId="30" fillId="16" borderId="1" xfId="0" applyFont="1" applyFill="1" applyBorder="1" applyAlignment="1">
      <alignment horizontal="center" vertical="center" wrapText="1"/>
    </xf>
    <xf numFmtId="0" fontId="30" fillId="16" borderId="2" xfId="0" applyFont="1" applyFill="1" applyBorder="1" applyAlignment="1">
      <alignment horizontal="center" vertical="center"/>
    </xf>
    <xf numFmtId="0" fontId="30" fillId="16" borderId="41" xfId="0" applyFont="1" applyFill="1" applyBorder="1" applyAlignment="1">
      <alignment horizontal="center" vertical="center"/>
    </xf>
    <xf numFmtId="0" fontId="30" fillId="16" borderId="68" xfId="0" applyFont="1" applyFill="1" applyBorder="1" applyAlignment="1">
      <alignment horizontal="center" vertical="center" wrapText="1"/>
    </xf>
    <xf numFmtId="0" fontId="3" fillId="0" borderId="1" xfId="0" applyFont="1" applyBorder="1" applyAlignment="1">
      <alignment vertical="center" wrapText="1"/>
    </xf>
    <xf numFmtId="165" fontId="10" fillId="0" borderId="2" xfId="0" applyNumberFormat="1" applyFont="1" applyBorder="1" applyAlignment="1">
      <alignment vertical="center" wrapText="1"/>
    </xf>
    <xf numFmtId="165" fontId="10" fillId="0" borderId="1" xfId="0" applyNumberFormat="1" applyFont="1" applyBorder="1" applyAlignment="1">
      <alignment vertical="center" wrapText="1"/>
    </xf>
    <xf numFmtId="165" fontId="54" fillId="0" borderId="68" xfId="0" applyNumberFormat="1" applyFont="1" applyBorder="1" applyAlignment="1">
      <alignment vertical="center" wrapText="1"/>
    </xf>
    <xf numFmtId="165" fontId="54" fillId="0" borderId="68" xfId="0" applyNumberFormat="1" applyFont="1" applyBorder="1" applyAlignment="1">
      <alignment horizontal="center" vertical="center" wrapText="1"/>
    </xf>
    <xf numFmtId="0" fontId="55" fillId="17" borderId="1" xfId="0" applyFont="1" applyFill="1" applyBorder="1" applyAlignment="1">
      <alignment vertical="center" wrapText="1"/>
    </xf>
    <xf numFmtId="165" fontId="55" fillId="17" borderId="1" xfId="0" applyNumberFormat="1" applyFont="1" applyFill="1" applyBorder="1" applyAlignment="1">
      <alignment vertical="center" wrapText="1"/>
    </xf>
    <xf numFmtId="165" fontId="75" fillId="17" borderId="1" xfId="0" applyNumberFormat="1" applyFont="1" applyFill="1" applyBorder="1" applyAlignment="1">
      <alignment vertical="center" wrapText="1"/>
    </xf>
    <xf numFmtId="165" fontId="55" fillId="17" borderId="2" xfId="0" applyNumberFormat="1" applyFont="1" applyFill="1" applyBorder="1" applyAlignment="1">
      <alignment vertical="center" wrapText="1"/>
    </xf>
    <xf numFmtId="165" fontId="55" fillId="17" borderId="63" xfId="0" applyNumberFormat="1" applyFont="1" applyFill="1" applyBorder="1" applyAlignment="1">
      <alignment vertical="center" wrapText="1"/>
    </xf>
    <xf numFmtId="165" fontId="55" fillId="17" borderId="35" xfId="0" applyNumberFormat="1" applyFont="1" applyFill="1" applyBorder="1" applyAlignment="1">
      <alignment vertical="center" wrapText="1"/>
    </xf>
    <xf numFmtId="165" fontId="75" fillId="17" borderId="64" xfId="0" applyNumberFormat="1" applyFont="1" applyFill="1" applyBorder="1" applyAlignment="1">
      <alignment vertical="center" wrapText="1"/>
    </xf>
    <xf numFmtId="0" fontId="71" fillId="0" borderId="0" xfId="0" applyFont="1" applyAlignment="1">
      <alignment horizontal="left"/>
    </xf>
    <xf numFmtId="0" fontId="39" fillId="18" borderId="56" xfId="0" applyFont="1" applyFill="1" applyBorder="1"/>
    <xf numFmtId="0" fontId="56" fillId="18" borderId="1" xfId="0" applyFont="1" applyFill="1" applyBorder="1" applyAlignment="1">
      <alignment horizontal="center"/>
    </xf>
    <xf numFmtId="0" fontId="23" fillId="0" borderId="37" xfId="0" applyFont="1" applyBorder="1"/>
    <xf numFmtId="9" fontId="9" fillId="0" borderId="0" xfId="1" applyFont="1" applyBorder="1" applyProtection="1"/>
    <xf numFmtId="0" fontId="9" fillId="0" borderId="37" xfId="0" applyFont="1" applyBorder="1" applyAlignment="1">
      <alignment horizontal="left" indent="1"/>
    </xf>
    <xf numFmtId="9" fontId="9" fillId="0" borderId="0" xfId="1" applyFont="1" applyFill="1" applyBorder="1" applyProtection="1"/>
    <xf numFmtId="0" fontId="23" fillId="14" borderId="57" xfId="0" applyFont="1" applyFill="1" applyBorder="1"/>
    <xf numFmtId="175" fontId="31" fillId="0" borderId="1" xfId="0" applyNumberFormat="1" applyFont="1" applyBorder="1"/>
    <xf numFmtId="9" fontId="31" fillId="10" borderId="1" xfId="1" applyFont="1" applyFill="1" applyBorder="1" applyProtection="1"/>
    <xf numFmtId="10" fontId="28" fillId="10" borderId="1" xfId="1" applyNumberFormat="1" applyFont="1" applyFill="1" applyBorder="1" applyProtection="1"/>
    <xf numFmtId="9" fontId="23" fillId="14" borderId="1" xfId="1" applyFont="1" applyFill="1" applyBorder="1" applyProtection="1"/>
    <xf numFmtId="0" fontId="39" fillId="18" borderId="41" xfId="0" applyFont="1" applyFill="1" applyBorder="1"/>
    <xf numFmtId="165" fontId="23" fillId="0" borderId="3" xfId="5" applyFont="1" applyFill="1" applyBorder="1" applyProtection="1"/>
    <xf numFmtId="0" fontId="9" fillId="10" borderId="37" xfId="0" applyFont="1" applyFill="1" applyBorder="1" applyAlignment="1">
      <alignment horizontal="left" indent="1"/>
    </xf>
    <xf numFmtId="0" fontId="28" fillId="0" borderId="21" xfId="0" applyFont="1" applyBorder="1" applyAlignment="1">
      <alignment horizontal="left" vertical="center" wrapText="1"/>
    </xf>
    <xf numFmtId="170" fontId="28" fillId="0" borderId="1" xfId="0" applyNumberFormat="1" applyFont="1" applyBorder="1"/>
    <xf numFmtId="168" fontId="23" fillId="0" borderId="1" xfId="0" applyNumberFormat="1" applyFont="1" applyBorder="1"/>
    <xf numFmtId="175" fontId="31" fillId="0" borderId="0" xfId="0" applyNumberFormat="1" applyFont="1"/>
    <xf numFmtId="0" fontId="56" fillId="18" borderId="28" xfId="0" applyFont="1" applyFill="1" applyBorder="1" applyAlignment="1">
      <alignment horizontal="center"/>
    </xf>
    <xf numFmtId="0" fontId="9" fillId="0" borderId="41" xfId="0" applyFont="1" applyBorder="1"/>
    <xf numFmtId="175" fontId="23" fillId="0" borderId="1" xfId="0" applyNumberFormat="1" applyFont="1" applyBorder="1"/>
    <xf numFmtId="175" fontId="39" fillId="0" borderId="0" xfId="0" applyNumberFormat="1" applyFont="1"/>
    <xf numFmtId="0" fontId="9" fillId="0" borderId="63" xfId="0" applyFont="1" applyBorder="1"/>
    <xf numFmtId="170" fontId="23" fillId="0" borderId="35" xfId="0" applyNumberFormat="1" applyFont="1" applyBorder="1"/>
    <xf numFmtId="9" fontId="9" fillId="0" borderId="23" xfId="0" applyNumberFormat="1" applyFont="1" applyBorder="1"/>
    <xf numFmtId="170" fontId="23" fillId="0" borderId="0" xfId="0" applyNumberFormat="1" applyFont="1"/>
    <xf numFmtId="9" fontId="9" fillId="0" borderId="0" xfId="0" applyNumberFormat="1" applyFont="1"/>
    <xf numFmtId="175" fontId="31" fillId="14" borderId="1" xfId="0" applyNumberFormat="1" applyFont="1" applyFill="1" applyBorder="1"/>
    <xf numFmtId="16" fontId="9" fillId="0" borderId="21" xfId="0" applyNumberFormat="1" applyFont="1" applyBorder="1"/>
    <xf numFmtId="0" fontId="0" fillId="0" borderId="24" xfId="0" applyBorder="1"/>
    <xf numFmtId="0" fontId="9" fillId="0" borderId="1" xfId="0" applyFont="1" applyBorder="1" applyAlignment="1">
      <alignment vertical="center" wrapText="1"/>
    </xf>
    <xf numFmtId="165" fontId="54" fillId="0" borderId="2" xfId="0" applyNumberFormat="1" applyFont="1" applyBorder="1" applyAlignment="1">
      <alignment vertical="center" wrapText="1"/>
    </xf>
    <xf numFmtId="165" fontId="54" fillId="0" borderId="1" xfId="0" applyNumberFormat="1" applyFont="1" applyBorder="1" applyAlignment="1">
      <alignment vertical="center" wrapText="1"/>
    </xf>
    <xf numFmtId="0" fontId="0" fillId="0" borderId="0" xfId="0" applyAlignment="1">
      <alignment horizontal="left" vertical="center" indent="1"/>
    </xf>
    <xf numFmtId="0" fontId="30" fillId="16" borderId="1" xfId="0" applyFont="1" applyFill="1" applyBorder="1" applyAlignment="1">
      <alignment vertical="center"/>
    </xf>
    <xf numFmtId="0" fontId="69" fillId="10" borderId="0" xfId="0" applyFont="1" applyFill="1" applyAlignment="1">
      <alignment vertical="center"/>
    </xf>
    <xf numFmtId="0" fontId="3" fillId="0" borderId="6" xfId="0" applyFont="1" applyBorder="1" applyAlignment="1">
      <alignment vertical="center" wrapText="1"/>
    </xf>
    <xf numFmtId="165" fontId="3" fillId="0" borderId="6" xfId="0" applyNumberFormat="1" applyFont="1" applyBorder="1" applyAlignment="1">
      <alignment vertical="center" wrapText="1"/>
    </xf>
    <xf numFmtId="165" fontId="10" fillId="0" borderId="6" xfId="0" applyNumberFormat="1" applyFont="1" applyBorder="1" applyAlignment="1">
      <alignment vertical="center" wrapText="1"/>
    </xf>
    <xf numFmtId="0" fontId="3" fillId="0" borderId="0" xfId="0" applyFont="1" applyAlignment="1">
      <alignment vertical="center" wrapText="1"/>
    </xf>
    <xf numFmtId="165" fontId="3" fillId="0" borderId="0" xfId="0" applyNumberFormat="1" applyFont="1" applyAlignment="1">
      <alignment vertical="center" wrapText="1"/>
    </xf>
    <xf numFmtId="165" fontId="10" fillId="0" borderId="0" xfId="0" applyNumberFormat="1" applyFont="1" applyAlignment="1">
      <alignment vertical="center" wrapText="1"/>
    </xf>
    <xf numFmtId="0" fontId="106" fillId="0" borderId="0" xfId="0" applyFont="1"/>
    <xf numFmtId="165" fontId="3" fillId="2" borderId="1" xfId="0" applyNumberFormat="1" applyFont="1" applyFill="1" applyBorder="1" applyAlignment="1" applyProtection="1">
      <alignment vertical="center" wrapText="1"/>
      <protection locked="0"/>
    </xf>
    <xf numFmtId="165" fontId="16" fillId="2" borderId="1" xfId="0" applyNumberFormat="1" applyFont="1" applyFill="1" applyBorder="1" applyAlignment="1" applyProtection="1">
      <alignment vertical="center" wrapText="1"/>
      <protection locked="0"/>
    </xf>
    <xf numFmtId="165" fontId="3" fillId="2" borderId="41" xfId="0" applyNumberFormat="1" applyFont="1" applyFill="1" applyBorder="1" applyAlignment="1" applyProtection="1">
      <alignment vertical="center" wrapText="1"/>
      <protection locked="0"/>
    </xf>
    <xf numFmtId="165" fontId="3" fillId="2" borderId="41" xfId="0" applyNumberFormat="1"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protection locked="0"/>
    </xf>
    <xf numFmtId="165" fontId="3" fillId="2" borderId="6" xfId="0" applyNumberFormat="1" applyFont="1" applyFill="1" applyBorder="1" applyAlignment="1" applyProtection="1">
      <alignment vertical="center" wrapText="1"/>
      <protection locked="0"/>
    </xf>
    <xf numFmtId="0" fontId="27" fillId="2" borderId="15" xfId="0" applyFont="1" applyFill="1" applyBorder="1" applyProtection="1">
      <protection locked="0"/>
    </xf>
    <xf numFmtId="167" fontId="34" fillId="10" borderId="0" xfId="0" applyNumberFormat="1" applyFont="1" applyFill="1"/>
    <xf numFmtId="0" fontId="27" fillId="10" borderId="0" xfId="0" applyFont="1" applyFill="1" applyAlignment="1">
      <alignment horizontal="right"/>
    </xf>
    <xf numFmtId="0" fontId="23" fillId="5" borderId="0" xfId="0" applyFont="1" applyFill="1" applyAlignment="1">
      <alignment vertical="center" wrapText="1"/>
    </xf>
    <xf numFmtId="170" fontId="23" fillId="10" borderId="0" xfId="0" applyNumberFormat="1" applyFont="1" applyFill="1"/>
    <xf numFmtId="167" fontId="23" fillId="0" borderId="0" xfId="0" applyNumberFormat="1" applyFont="1"/>
    <xf numFmtId="0" fontId="31" fillId="10" borderId="0" xfId="0" applyFont="1" applyFill="1" applyAlignment="1">
      <alignment horizontal="right"/>
    </xf>
    <xf numFmtId="172" fontId="45" fillId="10" borderId="26" xfId="1" applyNumberFormat="1" applyFont="1" applyFill="1" applyBorder="1" applyAlignment="1" applyProtection="1">
      <alignment horizontal="center"/>
    </xf>
    <xf numFmtId="0" fontId="47" fillId="10" borderId="26" xfId="10" applyFont="1" applyFill="1" applyBorder="1" applyAlignment="1" applyProtection="1">
      <alignment horizontal="center"/>
    </xf>
    <xf numFmtId="0" fontId="47" fillId="10" borderId="27" xfId="10" applyFont="1" applyFill="1" applyBorder="1" applyAlignment="1" applyProtection="1">
      <alignment horizontal="center" wrapText="1"/>
    </xf>
    <xf numFmtId="172" fontId="0" fillId="0" borderId="0" xfId="1" applyNumberFormat="1" applyFont="1" applyFill="1" applyBorder="1" applyAlignment="1" applyProtection="1">
      <alignment horizontal="center"/>
    </xf>
    <xf numFmtId="172" fontId="0" fillId="10" borderId="0" xfId="1" applyNumberFormat="1" applyFont="1" applyFill="1" applyBorder="1" applyAlignment="1" applyProtection="1">
      <alignment horizontal="center"/>
    </xf>
    <xf numFmtId="172" fontId="45" fillId="10" borderId="23" xfId="1" applyNumberFormat="1" applyFont="1" applyFill="1" applyBorder="1" applyAlignment="1" applyProtection="1">
      <alignment horizontal="center"/>
    </xf>
    <xf numFmtId="1" fontId="18" fillId="10" borderId="0" xfId="10" applyNumberFormat="1" applyFill="1" applyAlignment="1" applyProtection="1"/>
    <xf numFmtId="0" fontId="27" fillId="2" borderId="1" xfId="5" applyNumberFormat="1" applyFont="1" applyFill="1" applyBorder="1" applyAlignment="1" applyProtection="1">
      <alignment vertical="center"/>
      <protection locked="0"/>
    </xf>
    <xf numFmtId="49" fontId="4" fillId="2" borderId="2" xfId="11" applyNumberFormat="1" applyFont="1" applyFill="1" applyBorder="1" applyAlignment="1" applyProtection="1">
      <alignment horizontal="center"/>
      <protection locked="0"/>
    </xf>
    <xf numFmtId="49" fontId="27" fillId="2" borderId="36" xfId="0" applyNumberFormat="1" applyFont="1" applyFill="1" applyBorder="1" applyProtection="1">
      <protection locked="0"/>
    </xf>
    <xf numFmtId="49" fontId="27" fillId="2" borderId="55" xfId="0" applyNumberFormat="1" applyFont="1" applyFill="1" applyBorder="1" applyProtection="1">
      <protection locked="0"/>
    </xf>
    <xf numFmtId="49" fontId="27" fillId="2" borderId="70" xfId="0" applyNumberFormat="1" applyFont="1" applyFill="1" applyBorder="1" applyProtection="1">
      <protection locked="0"/>
    </xf>
    <xf numFmtId="49" fontId="27" fillId="2" borderId="62" xfId="0" applyNumberFormat="1" applyFont="1" applyFill="1" applyBorder="1" applyProtection="1">
      <protection locked="0"/>
    </xf>
    <xf numFmtId="1" fontId="27" fillId="2" borderId="1" xfId="5" applyNumberFormat="1" applyFont="1" applyFill="1" applyBorder="1" applyAlignment="1" applyProtection="1">
      <alignment vertical="center"/>
      <protection locked="0"/>
    </xf>
    <xf numFmtId="49" fontId="31" fillId="2" borderId="1" xfId="5" applyNumberFormat="1" applyFont="1" applyFill="1" applyBorder="1" applyAlignment="1" applyProtection="1">
      <alignment vertical="top" wrapText="1"/>
      <protection locked="0"/>
    </xf>
    <xf numFmtId="176" fontId="27" fillId="2" borderId="1" xfId="5" applyNumberFormat="1" applyFont="1" applyFill="1" applyBorder="1" applyAlignment="1" applyProtection="1">
      <alignment horizontal="center" vertical="center"/>
      <protection locked="0"/>
    </xf>
    <xf numFmtId="0" fontId="44" fillId="3" borderId="27" xfId="0" applyFont="1" applyFill="1" applyBorder="1" applyAlignment="1">
      <alignment horizontal="right"/>
    </xf>
    <xf numFmtId="0" fontId="44" fillId="3" borderId="21" xfId="0" applyFont="1" applyFill="1" applyBorder="1" applyAlignment="1">
      <alignment horizontal="right"/>
    </xf>
    <xf numFmtId="0" fontId="43" fillId="0" borderId="0" xfId="10" applyFont="1" applyFill="1" applyBorder="1" applyAlignment="1" applyProtection="1"/>
    <xf numFmtId="0" fontId="23" fillId="0" borderId="0" xfId="0" applyFont="1" applyAlignment="1">
      <alignment horizontal="left" vertical="center"/>
    </xf>
    <xf numFmtId="0" fontId="9" fillId="0" borderId="25" xfId="0" applyFont="1" applyBorder="1"/>
    <xf numFmtId="0" fontId="9" fillId="10" borderId="26" xfId="0" applyFont="1" applyFill="1" applyBorder="1"/>
    <xf numFmtId="0" fontId="9" fillId="0" borderId="22" xfId="0" applyFont="1" applyBorder="1"/>
    <xf numFmtId="0" fontId="27" fillId="0" borderId="23" xfId="0" applyFont="1" applyBorder="1" applyAlignment="1">
      <alignment horizontal="right"/>
    </xf>
    <xf numFmtId="0" fontId="37" fillId="5" borderId="43" xfId="0" applyFont="1" applyFill="1" applyBorder="1" applyAlignment="1">
      <alignment vertical="center" wrapText="1"/>
    </xf>
    <xf numFmtId="0" fontId="23" fillId="5" borderId="26" xfId="0" applyFont="1" applyFill="1" applyBorder="1" applyAlignment="1">
      <alignment horizontal="center" vertical="center" wrapText="1"/>
    </xf>
    <xf numFmtId="0" fontId="23" fillId="5" borderId="33" xfId="0" applyFont="1" applyFill="1" applyBorder="1" applyAlignment="1">
      <alignment horizontal="center" vertical="center" wrapText="1"/>
    </xf>
    <xf numFmtId="0" fontId="23" fillId="5" borderId="34" xfId="0" applyFont="1" applyFill="1" applyBorder="1" applyAlignment="1">
      <alignment horizontal="center" vertical="center" wrapText="1"/>
    </xf>
    <xf numFmtId="0" fontId="27" fillId="0" borderId="25" xfId="0" applyFont="1" applyBorder="1" applyAlignment="1">
      <alignment horizontal="left"/>
    </xf>
    <xf numFmtId="0" fontId="27" fillId="14" borderId="65" xfId="0" applyFont="1" applyFill="1" applyBorder="1" applyAlignment="1">
      <alignment horizontal="right"/>
    </xf>
    <xf numFmtId="167" fontId="27" fillId="12" borderId="58" xfId="0" applyNumberFormat="1" applyFont="1" applyFill="1" applyBorder="1"/>
    <xf numFmtId="0" fontId="27" fillId="14" borderId="41" xfId="0" applyFont="1" applyFill="1" applyBorder="1" applyAlignment="1">
      <alignment horizontal="right"/>
    </xf>
    <xf numFmtId="167" fontId="27" fillId="12" borderId="53" xfId="0" applyNumberFormat="1" applyFont="1" applyFill="1" applyBorder="1"/>
    <xf numFmtId="167" fontId="27" fillId="10" borderId="53" xfId="0" applyNumberFormat="1" applyFont="1" applyFill="1" applyBorder="1"/>
    <xf numFmtId="167" fontId="27" fillId="12" borderId="36" xfId="0" applyNumberFormat="1" applyFont="1" applyFill="1" applyBorder="1"/>
    <xf numFmtId="0" fontId="27" fillId="10" borderId="0" xfId="0" applyFont="1" applyFill="1"/>
    <xf numFmtId="167" fontId="27" fillId="10" borderId="36" xfId="0" applyNumberFormat="1" applyFont="1" applyFill="1" applyBorder="1"/>
    <xf numFmtId="0" fontId="32" fillId="10" borderId="22" xfId="0" applyFont="1" applyFill="1" applyBorder="1" applyAlignment="1">
      <alignment horizontal="left"/>
    </xf>
    <xf numFmtId="0" fontId="31" fillId="14" borderId="63" xfId="0" applyFont="1" applyFill="1" applyBorder="1" applyAlignment="1">
      <alignment horizontal="right"/>
    </xf>
    <xf numFmtId="167" fontId="31" fillId="10" borderId="60" xfId="0" applyNumberFormat="1" applyFont="1" applyFill="1" applyBorder="1"/>
    <xf numFmtId="167" fontId="31" fillId="10" borderId="55" xfId="0" applyNumberFormat="1" applyFont="1" applyFill="1" applyBorder="1"/>
    <xf numFmtId="0" fontId="31" fillId="0" borderId="0" xfId="0" applyFont="1" applyAlignment="1">
      <alignment horizontal="right"/>
    </xf>
    <xf numFmtId="0" fontId="37" fillId="5" borderId="25" xfId="0" applyFont="1" applyFill="1" applyBorder="1" applyAlignment="1">
      <alignment vertical="center" wrapText="1"/>
    </xf>
    <xf numFmtId="0" fontId="23" fillId="5" borderId="27" xfId="0" applyFont="1" applyFill="1" applyBorder="1" applyAlignment="1">
      <alignment horizontal="center" vertical="center" wrapText="1"/>
    </xf>
    <xf numFmtId="0" fontId="16" fillId="5" borderId="22" xfId="0" applyFont="1" applyFill="1" applyBorder="1" applyAlignment="1">
      <alignment vertical="center" wrapText="1"/>
    </xf>
    <xf numFmtId="0" fontId="23" fillId="5" borderId="23" xfId="0" applyFont="1" applyFill="1" applyBorder="1" applyAlignment="1">
      <alignment vertical="center" wrapText="1"/>
    </xf>
    <xf numFmtId="0" fontId="23" fillId="5" borderId="23" xfId="0" applyFont="1" applyFill="1" applyBorder="1" applyAlignment="1">
      <alignment horizontal="center" vertical="center" wrapText="1"/>
    </xf>
    <xf numFmtId="0" fontId="23" fillId="5" borderId="24" xfId="0" applyFont="1" applyFill="1" applyBorder="1" applyAlignment="1">
      <alignment horizontal="center" vertical="center" wrapText="1"/>
    </xf>
    <xf numFmtId="0" fontId="23" fillId="10" borderId="23" xfId="0" applyFont="1" applyFill="1" applyBorder="1" applyAlignment="1">
      <alignment horizontal="center"/>
    </xf>
    <xf numFmtId="0" fontId="37" fillId="10" borderId="23" xfId="0" applyFont="1" applyFill="1" applyBorder="1" applyAlignment="1">
      <alignment horizontal="center"/>
    </xf>
    <xf numFmtId="0" fontId="31" fillId="0" borderId="38" xfId="0" applyFont="1" applyBorder="1" applyAlignment="1">
      <alignment horizontal="left"/>
    </xf>
    <xf numFmtId="0" fontId="31" fillId="14" borderId="38" xfId="0" applyFont="1" applyFill="1" applyBorder="1" applyAlignment="1">
      <alignment horizontal="right"/>
    </xf>
    <xf numFmtId="167" fontId="31" fillId="10" borderId="38" xfId="0" applyNumberFormat="1" applyFont="1" applyFill="1" applyBorder="1"/>
    <xf numFmtId="167" fontId="27" fillId="10" borderId="68" xfId="0" applyNumberFormat="1" applyFont="1" applyFill="1" applyBorder="1"/>
    <xf numFmtId="167" fontId="27" fillId="10" borderId="64" xfId="0" applyNumberFormat="1" applyFont="1" applyFill="1" applyBorder="1"/>
    <xf numFmtId="0" fontId="9" fillId="0" borderId="17" xfId="0" applyFont="1" applyBorder="1" applyAlignment="1">
      <alignment horizontal="left" wrapText="1" indent="1"/>
    </xf>
    <xf numFmtId="0" fontId="9" fillId="0" borderId="17" xfId="0" applyFont="1" applyBorder="1" applyAlignment="1">
      <alignment horizontal="left" indent="1"/>
    </xf>
    <xf numFmtId="167" fontId="27" fillId="10" borderId="73" xfId="0" applyNumberFormat="1" applyFont="1" applyFill="1" applyBorder="1"/>
    <xf numFmtId="49" fontId="9" fillId="0" borderId="0" xfId="0" applyNumberFormat="1" applyFont="1"/>
    <xf numFmtId="0" fontId="31" fillId="10" borderId="25" xfId="0" applyFont="1" applyFill="1" applyBorder="1" applyAlignment="1">
      <alignment horizontal="left"/>
    </xf>
    <xf numFmtId="49" fontId="9" fillId="10" borderId="38" xfId="0" applyNumberFormat="1" applyFont="1" applyFill="1" applyBorder="1"/>
    <xf numFmtId="0" fontId="28" fillId="10" borderId="0" xfId="0" applyFont="1" applyFill="1"/>
    <xf numFmtId="49" fontId="9" fillId="10" borderId="0" xfId="0" applyNumberFormat="1" applyFont="1" applyFill="1"/>
    <xf numFmtId="49" fontId="9" fillId="10" borderId="16" xfId="0" applyNumberFormat="1" applyFont="1" applyFill="1" applyBorder="1"/>
    <xf numFmtId="167" fontId="27" fillId="10" borderId="0" xfId="0" applyNumberFormat="1" applyFont="1" applyFill="1"/>
    <xf numFmtId="0" fontId="27" fillId="0" borderId="22" xfId="0" applyFont="1" applyBorder="1" applyAlignment="1">
      <alignment horizontal="left"/>
    </xf>
    <xf numFmtId="0" fontId="31" fillId="14" borderId="55" xfId="0" applyFont="1" applyFill="1" applyBorder="1" applyAlignment="1">
      <alignment horizontal="right"/>
    </xf>
    <xf numFmtId="167" fontId="27" fillId="10" borderId="55" xfId="0" applyNumberFormat="1" applyFont="1" applyFill="1" applyBorder="1"/>
    <xf numFmtId="167" fontId="27" fillId="12" borderId="55" xfId="0" applyNumberFormat="1" applyFont="1" applyFill="1" applyBorder="1"/>
    <xf numFmtId="0" fontId="32" fillId="10" borderId="38" xfId="0" applyFont="1" applyFill="1" applyBorder="1" applyAlignment="1">
      <alignment horizontal="left"/>
    </xf>
    <xf numFmtId="0" fontId="31" fillId="14" borderId="52" xfId="0" applyFont="1" applyFill="1" applyBorder="1" applyAlignment="1">
      <alignment horizontal="right"/>
    </xf>
    <xf numFmtId="167" fontId="31" fillId="10" borderId="71" xfId="0" applyNumberFormat="1" applyFont="1" applyFill="1" applyBorder="1"/>
    <xf numFmtId="167" fontId="31" fillId="10" borderId="49" xfId="0" applyNumberFormat="1" applyFont="1" applyFill="1" applyBorder="1"/>
    <xf numFmtId="0" fontId="32" fillId="14" borderId="52" xfId="0" applyFont="1" applyFill="1" applyBorder="1" applyAlignment="1">
      <alignment horizontal="right"/>
    </xf>
    <xf numFmtId="167" fontId="32" fillId="10" borderId="71" xfId="0" applyNumberFormat="1" applyFont="1" applyFill="1" applyBorder="1"/>
    <xf numFmtId="167" fontId="32" fillId="10" borderId="49" xfId="0" applyNumberFormat="1" applyFont="1" applyFill="1" applyBorder="1"/>
    <xf numFmtId="0" fontId="32" fillId="10" borderId="0" xfId="0" applyFont="1" applyFill="1" applyAlignment="1">
      <alignment horizontal="left"/>
    </xf>
    <xf numFmtId="167" fontId="32" fillId="10" borderId="0" xfId="0" applyNumberFormat="1" applyFont="1" applyFill="1"/>
    <xf numFmtId="167" fontId="9" fillId="10" borderId="0" xfId="0" applyNumberFormat="1" applyFont="1" applyFill="1"/>
    <xf numFmtId="171" fontId="9" fillId="10" borderId="0" xfId="0" applyNumberFormat="1" applyFont="1" applyFill="1"/>
    <xf numFmtId="165" fontId="9" fillId="10" borderId="0" xfId="0" applyNumberFormat="1" applyFont="1" applyFill="1"/>
    <xf numFmtId="0" fontId="57" fillId="0" borderId="0" xfId="0" applyFont="1" applyAlignment="1">
      <alignment horizontal="left" vertical="center" wrapText="1"/>
    </xf>
    <xf numFmtId="0" fontId="61" fillId="0" borderId="0" xfId="0" applyFont="1" applyAlignment="1">
      <alignment horizontal="left" vertical="center" wrapText="1"/>
    </xf>
    <xf numFmtId="0" fontId="58" fillId="0" borderId="0" xfId="0" applyFont="1" applyAlignment="1">
      <alignment horizontal="left" vertical="center" wrapText="1"/>
    </xf>
    <xf numFmtId="0" fontId="59" fillId="0" borderId="0" xfId="0" applyFont="1" applyAlignment="1">
      <alignment vertical="center"/>
    </xf>
    <xf numFmtId="0" fontId="62" fillId="0" borderId="0" xfId="0" applyFont="1" applyAlignment="1">
      <alignment vertical="center"/>
    </xf>
    <xf numFmtId="0" fontId="8" fillId="0" borderId="0" xfId="3" applyFill="1" applyBorder="1" applyAlignment="1" applyProtection="1">
      <alignment vertical="center"/>
    </xf>
    <xf numFmtId="0" fontId="60" fillId="0" borderId="0" xfId="0" applyFont="1" applyAlignment="1">
      <alignment vertical="center"/>
    </xf>
    <xf numFmtId="3" fontId="29" fillId="10" borderId="0" xfId="0" applyNumberFormat="1" applyFont="1" applyFill="1"/>
    <xf numFmtId="3" fontId="29" fillId="0" borderId="0" xfId="0" applyNumberFormat="1" applyFont="1"/>
    <xf numFmtId="0" fontId="9" fillId="2" borderId="18" xfId="0" applyFont="1" applyFill="1" applyBorder="1" applyAlignment="1" applyProtection="1">
      <alignment horizontal="left" indent="1"/>
      <protection locked="0"/>
    </xf>
    <xf numFmtId="0" fontId="27" fillId="2" borderId="18" xfId="0" applyFont="1" applyFill="1" applyBorder="1" applyAlignment="1" applyProtection="1">
      <alignment horizontal="left" indent="1"/>
      <protection locked="0"/>
    </xf>
    <xf numFmtId="0" fontId="27" fillId="2" borderId="15" xfId="0" applyFont="1" applyFill="1" applyBorder="1" applyAlignment="1" applyProtection="1">
      <alignment horizontal="left"/>
      <protection locked="0"/>
    </xf>
    <xf numFmtId="0" fontId="29" fillId="10" borderId="0" xfId="0" applyFont="1" applyFill="1"/>
    <xf numFmtId="170" fontId="0" fillId="0" borderId="0" xfId="0" applyNumberFormat="1"/>
    <xf numFmtId="175" fontId="0" fillId="0" borderId="0" xfId="0" applyNumberFormat="1"/>
    <xf numFmtId="165" fontId="0" fillId="0" borderId="0" xfId="5" applyFont="1"/>
    <xf numFmtId="167" fontId="31" fillId="10" borderId="16" xfId="0" applyNumberFormat="1" applyFont="1" applyFill="1" applyBorder="1"/>
    <xf numFmtId="167" fontId="27" fillId="2" borderId="54" xfId="0" applyNumberFormat="1" applyFont="1" applyFill="1" applyBorder="1" applyProtection="1">
      <protection locked="0"/>
    </xf>
    <xf numFmtId="0" fontId="23" fillId="10" borderId="2" xfId="0" applyFont="1" applyFill="1" applyBorder="1"/>
    <xf numFmtId="0" fontId="23" fillId="10" borderId="9" xfId="0" applyFont="1" applyFill="1" applyBorder="1"/>
    <xf numFmtId="165" fontId="23" fillId="10" borderId="1" xfId="0" applyNumberFormat="1" applyFont="1" applyFill="1" applyBorder="1"/>
    <xf numFmtId="165" fontId="27" fillId="10" borderId="1" xfId="0" applyNumberFormat="1" applyFont="1" applyFill="1" applyBorder="1"/>
    <xf numFmtId="0" fontId="23" fillId="10" borderId="2" xfId="0" applyFont="1" applyFill="1" applyBorder="1" applyAlignment="1">
      <alignment horizontal="left" indent="1"/>
    </xf>
    <xf numFmtId="165" fontId="28" fillId="10" borderId="1" xfId="0" applyNumberFormat="1" applyFont="1" applyFill="1" applyBorder="1"/>
    <xf numFmtId="0" fontId="9" fillId="10" borderId="3" xfId="0" applyFont="1" applyFill="1" applyBorder="1" applyAlignment="1">
      <alignment horizontal="left" indent="1"/>
    </xf>
    <xf numFmtId="165" fontId="74" fillId="10" borderId="1" xfId="0" applyNumberFormat="1" applyFont="1" applyFill="1" applyBorder="1"/>
    <xf numFmtId="165" fontId="26" fillId="10" borderId="1" xfId="0" applyNumberFormat="1" applyFont="1" applyFill="1" applyBorder="1"/>
    <xf numFmtId="167" fontId="27" fillId="10" borderId="72" xfId="0" applyNumberFormat="1" applyFont="1" applyFill="1" applyBorder="1"/>
    <xf numFmtId="167" fontId="27" fillId="2" borderId="62" xfId="0" applyNumberFormat="1" applyFont="1" applyFill="1" applyBorder="1" applyProtection="1">
      <protection locked="0"/>
    </xf>
    <xf numFmtId="167" fontId="27" fillId="0" borderId="82" xfId="0" applyNumberFormat="1" applyFont="1" applyBorder="1"/>
    <xf numFmtId="167" fontId="27" fillId="0" borderId="83" xfId="0" applyNumberFormat="1" applyFont="1" applyBorder="1"/>
    <xf numFmtId="167" fontId="27" fillId="0" borderId="18" xfId="0" applyNumberFormat="1" applyFont="1" applyBorder="1"/>
    <xf numFmtId="167" fontId="27" fillId="10" borderId="62" xfId="0" applyNumberFormat="1" applyFont="1" applyFill="1" applyBorder="1"/>
    <xf numFmtId="167" fontId="27" fillId="12" borderId="62" xfId="0" applyNumberFormat="1" applyFont="1" applyFill="1" applyBorder="1"/>
    <xf numFmtId="0" fontId="31" fillId="10" borderId="0" xfId="0" applyFont="1" applyFill="1"/>
    <xf numFmtId="0" fontId="0" fillId="0" borderId="0" xfId="0" applyAlignment="1">
      <alignment horizontal="center" vertical="center"/>
    </xf>
    <xf numFmtId="0" fontId="43" fillId="10" borderId="0" xfId="0" applyFont="1" applyFill="1" applyAlignment="1">
      <alignment horizontal="center" vertical="center"/>
    </xf>
    <xf numFmtId="0" fontId="0" fillId="10" borderId="0" xfId="0" applyFill="1" applyAlignment="1">
      <alignment horizontal="center" vertical="center"/>
    </xf>
    <xf numFmtId="0" fontId="40" fillId="3" borderId="49" xfId="0" applyFont="1" applyFill="1" applyBorder="1" applyAlignment="1">
      <alignment horizontal="center" vertical="center" wrapText="1"/>
    </xf>
    <xf numFmtId="165" fontId="9" fillId="0" borderId="6" xfId="5" applyFont="1" applyBorder="1" applyProtection="1"/>
    <xf numFmtId="165" fontId="9" fillId="0" borderId="1" xfId="5" applyFont="1" applyBorder="1" applyProtection="1"/>
    <xf numFmtId="0" fontId="23" fillId="0" borderId="2" xfId="0" applyFont="1" applyBorder="1" applyAlignment="1">
      <alignment horizontal="right"/>
    </xf>
    <xf numFmtId="0" fontId="23" fillId="0" borderId="3" xfId="0" applyFont="1" applyBorder="1" applyAlignment="1">
      <alignment horizontal="right"/>
    </xf>
    <xf numFmtId="165" fontId="23" fillId="0" borderId="1" xfId="5" applyFont="1" applyBorder="1" applyProtection="1"/>
    <xf numFmtId="0" fontId="23" fillId="0" borderId="2" xfId="0" applyFont="1" applyBorder="1" applyAlignment="1">
      <alignment horizontal="left"/>
    </xf>
    <xf numFmtId="165" fontId="28" fillId="0" borderId="1" xfId="5" applyFont="1" applyBorder="1" applyProtection="1"/>
    <xf numFmtId="165" fontId="28" fillId="0" borderId="3" xfId="5" applyFont="1" applyBorder="1" applyProtection="1"/>
    <xf numFmtId="165" fontId="26" fillId="0" borderId="1" xfId="5" applyFont="1" applyBorder="1" applyProtection="1"/>
    <xf numFmtId="165" fontId="23" fillId="0" borderId="3" xfId="5" applyFont="1" applyBorder="1" applyProtection="1"/>
    <xf numFmtId="167" fontId="38" fillId="0" borderId="3" xfId="0" applyNumberFormat="1" applyFont="1" applyBorder="1" applyAlignment="1">
      <alignment horizontal="right" vertical="center"/>
    </xf>
    <xf numFmtId="0" fontId="23" fillId="10" borderId="0" xfId="0" applyFont="1" applyFill="1" applyAlignment="1">
      <alignment horizontal="left" vertical="center"/>
    </xf>
    <xf numFmtId="167" fontId="23" fillId="10" borderId="0" xfId="0" applyNumberFormat="1" applyFont="1" applyFill="1" applyAlignment="1">
      <alignment horizontal="center" vertical="center"/>
    </xf>
    <xf numFmtId="0" fontId="40" fillId="3" borderId="28" xfId="0" applyFont="1" applyFill="1" applyBorder="1" applyAlignment="1">
      <alignment horizontal="center" vertical="center" wrapText="1"/>
    </xf>
    <xf numFmtId="0" fontId="42" fillId="3" borderId="30" xfId="0" applyFont="1" applyFill="1" applyBorder="1" applyAlignment="1">
      <alignment horizontal="center" vertical="center" wrapText="1"/>
    </xf>
    <xf numFmtId="0" fontId="40" fillId="3" borderId="7" xfId="0" applyFont="1" applyFill="1" applyBorder="1" applyAlignment="1">
      <alignment horizontal="center" vertical="center" wrapText="1"/>
    </xf>
    <xf numFmtId="0" fontId="26" fillId="0" borderId="0" xfId="0" applyFont="1"/>
    <xf numFmtId="0" fontId="9" fillId="10" borderId="2" xfId="0" applyFont="1" applyFill="1" applyBorder="1" applyAlignment="1">
      <alignment horizontal="left" indent="1"/>
    </xf>
    <xf numFmtId="165" fontId="16" fillId="0" borderId="0" xfId="0" applyNumberFormat="1" applyFont="1"/>
    <xf numFmtId="9" fontId="0" fillId="0" borderId="0" xfId="1" applyFont="1" applyProtection="1"/>
    <xf numFmtId="169" fontId="0" fillId="0" borderId="0" xfId="0" applyNumberFormat="1"/>
    <xf numFmtId="0" fontId="9" fillId="10" borderId="10" xfId="0" applyFont="1" applyFill="1" applyBorder="1" applyAlignment="1">
      <alignment horizontal="left" indent="1"/>
    </xf>
    <xf numFmtId="0" fontId="23" fillId="10" borderId="28" xfId="0" applyFont="1" applyFill="1" applyBorder="1"/>
    <xf numFmtId="0" fontId="9" fillId="10" borderId="0" xfId="0" applyFont="1" applyFill="1" applyAlignment="1">
      <alignment horizontal="left" indent="1"/>
    </xf>
    <xf numFmtId="165" fontId="23" fillId="10" borderId="7" xfId="0" applyNumberFormat="1" applyFont="1" applyFill="1" applyBorder="1"/>
    <xf numFmtId="0" fontId="28" fillId="0" borderId="29" xfId="0" applyFont="1" applyBorder="1" applyAlignment="1">
      <alignment horizontal="left" indent="1"/>
    </xf>
    <xf numFmtId="0" fontId="9" fillId="0" borderId="29" xfId="0" applyFont="1" applyBorder="1" applyAlignment="1">
      <alignment horizontal="left" indent="1"/>
    </xf>
    <xf numFmtId="165" fontId="23" fillId="0" borderId="29" xfId="0" applyNumberFormat="1" applyFont="1" applyBorder="1"/>
    <xf numFmtId="165" fontId="39" fillId="0" borderId="0" xfId="0" applyNumberFormat="1" applyFont="1" applyAlignment="1">
      <alignment horizontal="center" vertical="center" wrapText="1"/>
    </xf>
    <xf numFmtId="165" fontId="39" fillId="10" borderId="0" xfId="0" applyNumberFormat="1" applyFont="1" applyFill="1" applyAlignment="1">
      <alignment horizontal="center" vertical="center" wrapText="1"/>
    </xf>
    <xf numFmtId="0" fontId="43" fillId="3" borderId="43" xfId="0" applyFont="1" applyFill="1" applyBorder="1" applyAlignment="1">
      <alignment horizontal="left" vertical="center"/>
    </xf>
    <xf numFmtId="0" fontId="43" fillId="3" borderId="33" xfId="0" applyFont="1" applyFill="1" applyBorder="1" applyAlignment="1">
      <alignment horizontal="left" vertical="center"/>
    </xf>
    <xf numFmtId="0" fontId="43" fillId="0" borderId="0" xfId="0" applyFont="1" applyAlignment="1">
      <alignment horizontal="center"/>
    </xf>
    <xf numFmtId="0" fontId="41" fillId="3" borderId="1" xfId="0" applyFont="1" applyFill="1" applyBorder="1" applyAlignment="1">
      <alignment horizontal="center" vertical="top"/>
    </xf>
    <xf numFmtId="175" fontId="9" fillId="0" borderId="1" xfId="0" applyNumberFormat="1" applyFont="1" applyBorder="1" applyAlignment="1">
      <alignment vertical="top" wrapText="1"/>
    </xf>
    <xf numFmtId="0" fontId="73" fillId="0" borderId="0" xfId="0" applyFont="1"/>
    <xf numFmtId="167" fontId="0" fillId="0" borderId="0" xfId="0" applyNumberFormat="1"/>
    <xf numFmtId="175" fontId="23" fillId="0" borderId="1" xfId="0" applyNumberFormat="1" applyFont="1" applyBorder="1" applyAlignment="1">
      <alignment vertical="top" wrapText="1"/>
    </xf>
    <xf numFmtId="0" fontId="40" fillId="3" borderId="25" xfId="0" applyFont="1" applyFill="1" applyBorder="1" applyAlignment="1">
      <alignment horizontal="left" vertical="center"/>
    </xf>
    <xf numFmtId="0" fontId="40" fillId="3" borderId="26" xfId="0" applyFont="1" applyFill="1" applyBorder="1" applyAlignment="1">
      <alignment horizontal="center" vertical="center"/>
    </xf>
    <xf numFmtId="0" fontId="40" fillId="3" borderId="27" xfId="0" applyFont="1" applyFill="1" applyBorder="1" applyAlignment="1">
      <alignment horizontal="center" vertical="center"/>
    </xf>
    <xf numFmtId="0" fontId="23" fillId="9" borderId="44" xfId="0" applyFont="1" applyFill="1" applyBorder="1" applyAlignment="1">
      <alignment vertical="top" wrapText="1"/>
    </xf>
    <xf numFmtId="0" fontId="23" fillId="9" borderId="19" xfId="0" applyFont="1" applyFill="1" applyBorder="1" applyAlignment="1">
      <alignment vertical="top" wrapText="1"/>
    </xf>
    <xf numFmtId="169" fontId="23" fillId="9" borderId="20" xfId="5" applyNumberFormat="1" applyFont="1" applyFill="1" applyBorder="1" applyAlignment="1" applyProtection="1">
      <alignment horizontal="left" vertical="top" wrapText="1"/>
    </xf>
    <xf numFmtId="0" fontId="9" fillId="0" borderId="15" xfId="0" applyFont="1" applyBorder="1" applyAlignment="1">
      <alignment vertical="center" wrapText="1"/>
    </xf>
    <xf numFmtId="167" fontId="9" fillId="0" borderId="0" xfId="0" applyNumberFormat="1" applyFont="1" applyAlignment="1">
      <alignment horizontal="left" vertical="center" wrapText="1"/>
    </xf>
    <xf numFmtId="0" fontId="9" fillId="0" borderId="0" xfId="0" applyFont="1" applyAlignment="1">
      <alignment horizontal="left" vertical="center" wrapText="1"/>
    </xf>
    <xf numFmtId="0" fontId="9" fillId="0" borderId="21" xfId="0" applyFont="1" applyBorder="1" applyAlignment="1">
      <alignment horizontal="left" vertical="center" wrapText="1"/>
    </xf>
    <xf numFmtId="0" fontId="23" fillId="9" borderId="15" xfId="0" applyFont="1" applyFill="1" applyBorder="1" applyAlignment="1">
      <alignment vertical="top" wrapText="1"/>
    </xf>
    <xf numFmtId="0" fontId="9" fillId="9" borderId="0" xfId="0" applyFont="1" applyFill="1" applyAlignment="1">
      <alignment vertical="top"/>
    </xf>
    <xf numFmtId="165" fontId="9" fillId="9" borderId="21" xfId="5" applyFont="1" applyFill="1" applyBorder="1" applyAlignment="1" applyProtection="1">
      <alignment horizontal="right" vertical="center" wrapText="1"/>
    </xf>
    <xf numFmtId="167" fontId="9" fillId="0" borderId="15" xfId="0" applyNumberFormat="1" applyFont="1" applyBorder="1" applyAlignment="1">
      <alignment horizontal="left" vertical="center" wrapText="1"/>
    </xf>
    <xf numFmtId="167" fontId="9" fillId="0" borderId="0" xfId="0" applyNumberFormat="1" applyFont="1" applyAlignment="1">
      <alignment horizontal="left" vertical="top" wrapText="1"/>
    </xf>
    <xf numFmtId="167" fontId="9" fillId="0" borderId="21" xfId="0" applyNumberFormat="1" applyFont="1" applyBorder="1" applyAlignment="1">
      <alignment horizontal="left" vertical="top" wrapText="1"/>
    </xf>
    <xf numFmtId="167" fontId="9" fillId="0" borderId="15" xfId="0" applyNumberFormat="1" applyFont="1" applyBorder="1"/>
    <xf numFmtId="167" fontId="9" fillId="0" borderId="21" xfId="0" applyNumberFormat="1" applyFont="1" applyBorder="1" applyAlignment="1">
      <alignment horizontal="left" wrapText="1"/>
    </xf>
    <xf numFmtId="167" fontId="9" fillId="0" borderId="45" xfId="0" applyNumberFormat="1" applyFont="1" applyBorder="1" applyAlignment="1">
      <alignment vertical="top"/>
    </xf>
    <xf numFmtId="167" fontId="9" fillId="0" borderId="14" xfId="0" applyNumberFormat="1" applyFont="1" applyBorder="1" applyAlignment="1">
      <alignment vertical="top"/>
    </xf>
    <xf numFmtId="167" fontId="9" fillId="0" borderId="14" xfId="0" applyNumberFormat="1" applyFont="1" applyBorder="1" applyAlignment="1">
      <alignment horizontal="left" vertical="top" wrapText="1"/>
    </xf>
    <xf numFmtId="167" fontId="9" fillId="0" borderId="32" xfId="0" applyNumberFormat="1" applyFont="1" applyBorder="1" applyAlignment="1">
      <alignment vertical="top"/>
    </xf>
    <xf numFmtId="0" fontId="23" fillId="9" borderId="15" xfId="0" applyFont="1" applyFill="1" applyBorder="1" applyAlignment="1">
      <alignment vertical="top"/>
    </xf>
    <xf numFmtId="0" fontId="9" fillId="9" borderId="0" xfId="0" applyFont="1" applyFill="1" applyAlignment="1">
      <alignment horizontal="left" vertical="top"/>
    </xf>
    <xf numFmtId="0" fontId="9" fillId="9" borderId="0" xfId="0" applyFont="1" applyFill="1" applyAlignment="1">
      <alignment horizontal="left" vertical="center" wrapText="1"/>
    </xf>
    <xf numFmtId="175" fontId="9" fillId="9" borderId="21" xfId="0" applyNumberFormat="1" applyFont="1" applyFill="1" applyBorder="1" applyAlignment="1">
      <alignment vertical="top" wrapText="1"/>
    </xf>
    <xf numFmtId="167" fontId="9" fillId="0" borderId="15" xfId="0" applyNumberFormat="1" applyFont="1" applyBorder="1" applyAlignment="1">
      <alignment horizontal="left" vertical="top" indent="1"/>
    </xf>
    <xf numFmtId="0" fontId="0" fillId="0" borderId="21" xfId="0" applyBorder="1" applyAlignment="1">
      <alignment horizontal="left"/>
    </xf>
    <xf numFmtId="167" fontId="9" fillId="0" borderId="15" xfId="0" applyNumberFormat="1" applyFont="1" applyBorder="1" applyAlignment="1">
      <alignment horizontal="left" vertical="center" indent="1"/>
    </xf>
    <xf numFmtId="167" fontId="9" fillId="0" borderId="15" xfId="0" applyNumberFormat="1" applyFont="1" applyBorder="1" applyAlignment="1">
      <alignment vertical="top"/>
    </xf>
    <xf numFmtId="167" fontId="27" fillId="0" borderId="45" xfId="0" applyNumberFormat="1" applyFont="1" applyBorder="1" applyAlignment="1">
      <alignment horizontal="left" vertical="top" indent="1"/>
    </xf>
    <xf numFmtId="167" fontId="27" fillId="0" borderId="14" xfId="0" applyNumberFormat="1" applyFont="1" applyBorder="1" applyAlignment="1">
      <alignment horizontal="left" vertical="top" indent="1"/>
    </xf>
    <xf numFmtId="0" fontId="0" fillId="0" borderId="32" xfId="0" applyBorder="1" applyAlignment="1">
      <alignment horizontal="left"/>
    </xf>
    <xf numFmtId="0" fontId="9" fillId="9" borderId="0" xfId="0" applyFont="1" applyFill="1" applyAlignment="1">
      <alignment horizontal="left" vertical="top" wrapText="1"/>
    </xf>
    <xf numFmtId="167" fontId="9" fillId="0" borderId="15" xfId="0" applyNumberFormat="1" applyFont="1" applyBorder="1" applyAlignment="1">
      <alignment horizontal="left" vertical="center" wrapText="1" indent="1"/>
    </xf>
    <xf numFmtId="167" fontId="9" fillId="0" borderId="21" xfId="0" applyNumberFormat="1" applyFont="1" applyBorder="1" applyAlignment="1">
      <alignment horizontal="left" vertical="center" wrapText="1"/>
    </xf>
    <xf numFmtId="167" fontId="9" fillId="0" borderId="45" xfId="0" applyNumberFormat="1" applyFont="1" applyBorder="1" applyAlignment="1">
      <alignment horizontal="left" vertical="top" indent="1"/>
    </xf>
    <xf numFmtId="167" fontId="9" fillId="0" borderId="14" xfId="0" applyNumberFormat="1" applyFont="1" applyBorder="1" applyAlignment="1">
      <alignment horizontal="left" vertical="center" wrapText="1"/>
    </xf>
    <xf numFmtId="167" fontId="9" fillId="0" borderId="32" xfId="0" applyNumberFormat="1" applyFont="1" applyBorder="1" applyAlignment="1">
      <alignment horizontal="left" vertical="center" wrapText="1"/>
    </xf>
    <xf numFmtId="0" fontId="23" fillId="2" borderId="43" xfId="0" applyFont="1" applyFill="1" applyBorder="1" applyAlignment="1">
      <alignment horizontal="left" vertical="center" wrapText="1"/>
    </xf>
    <xf numFmtId="0" fontId="23" fillId="2" borderId="33" xfId="0" applyFont="1" applyFill="1" applyBorder="1" applyAlignment="1">
      <alignment horizontal="left" vertical="center"/>
    </xf>
    <xf numFmtId="0" fontId="23" fillId="2" borderId="33" xfId="0" applyFont="1" applyFill="1" applyBorder="1" applyAlignment="1">
      <alignment horizontal="left" vertical="center" wrapText="1"/>
    </xf>
    <xf numFmtId="167" fontId="23" fillId="2" borderId="34" xfId="0" applyNumberFormat="1" applyFont="1" applyFill="1" applyBorder="1" applyAlignment="1">
      <alignment vertical="center" wrapText="1"/>
    </xf>
    <xf numFmtId="0" fontId="9" fillId="0" borderId="0" xfId="0" applyFont="1" applyAlignment="1">
      <alignment vertical="top" wrapText="1"/>
    </xf>
    <xf numFmtId="167" fontId="9" fillId="0" borderId="0" xfId="0" applyNumberFormat="1" applyFont="1" applyAlignment="1">
      <alignment vertical="top" wrapText="1"/>
    </xf>
    <xf numFmtId="0" fontId="23" fillId="13" borderId="43" xfId="0" applyFont="1" applyFill="1" applyBorder="1" applyAlignment="1">
      <alignment vertical="center"/>
    </xf>
    <xf numFmtId="0" fontId="23" fillId="13" borderId="33" xfId="0" applyFont="1" applyFill="1" applyBorder="1" applyAlignment="1">
      <alignment vertical="center"/>
    </xf>
    <xf numFmtId="175" fontId="37" fillId="13" borderId="34" xfId="0" applyNumberFormat="1" applyFont="1" applyFill="1" applyBorder="1" applyAlignment="1">
      <alignment horizontal="right" vertical="center" wrapText="1"/>
    </xf>
    <xf numFmtId="0" fontId="43" fillId="3" borderId="34" xfId="0" applyFont="1" applyFill="1" applyBorder="1" applyAlignment="1">
      <alignment horizontal="left" vertical="center"/>
    </xf>
    <xf numFmtId="0" fontId="43" fillId="10" borderId="0" xfId="0" applyFont="1" applyFill="1" applyAlignment="1">
      <alignment horizontal="center"/>
    </xf>
    <xf numFmtId="0" fontId="53" fillId="5" borderId="43" xfId="0" applyFont="1" applyFill="1" applyBorder="1" applyAlignment="1">
      <alignment vertical="center" wrapText="1"/>
    </xf>
    <xf numFmtId="0" fontId="53" fillId="5" borderId="33" xfId="0" applyFont="1" applyFill="1" applyBorder="1" applyAlignment="1">
      <alignment vertical="center" wrapText="1"/>
    </xf>
    <xf numFmtId="0" fontId="53" fillId="5" borderId="34" xfId="0" applyFont="1" applyFill="1" applyBorder="1" applyAlignment="1">
      <alignment vertical="center" wrapText="1"/>
    </xf>
    <xf numFmtId="0" fontId="39" fillId="18" borderId="0" xfId="0" applyFont="1" applyFill="1"/>
    <xf numFmtId="175" fontId="31" fillId="0" borderId="6" xfId="0" applyNumberFormat="1" applyFont="1" applyBorder="1"/>
    <xf numFmtId="9" fontId="9" fillId="0" borderId="1" xfId="1" applyFont="1" applyBorder="1" applyProtection="1"/>
    <xf numFmtId="0" fontId="9" fillId="0" borderId="46" xfId="0" applyFont="1" applyBorder="1" applyAlignment="1">
      <alignment horizontal="left" indent="1"/>
    </xf>
    <xf numFmtId="175" fontId="27" fillId="0" borderId="1" xfId="0" applyNumberFormat="1" applyFont="1" applyBorder="1"/>
    <xf numFmtId="10" fontId="9" fillId="0" borderId="1" xfId="1" applyNumberFormat="1" applyFont="1" applyBorder="1" applyProtection="1"/>
    <xf numFmtId="9" fontId="9" fillId="0" borderId="6" xfId="1" applyFont="1" applyBorder="1" applyProtection="1"/>
    <xf numFmtId="9" fontId="9" fillId="14" borderId="1" xfId="1" applyFont="1" applyFill="1" applyBorder="1" applyProtection="1"/>
    <xf numFmtId="9" fontId="9" fillId="0" borderId="21" xfId="1" applyFont="1" applyFill="1" applyBorder="1" applyProtection="1"/>
    <xf numFmtId="175" fontId="31" fillId="10" borderId="1" xfId="0" applyNumberFormat="1" applyFont="1" applyFill="1" applyBorder="1"/>
    <xf numFmtId="0" fontId="28" fillId="0" borderId="21" xfId="0" applyFont="1" applyBorder="1" applyAlignment="1">
      <alignment horizontal="left" vertical="top" wrapText="1"/>
    </xf>
    <xf numFmtId="175" fontId="69" fillId="14" borderId="1" xfId="0" applyNumberFormat="1" applyFont="1" applyFill="1" applyBorder="1"/>
    <xf numFmtId="166" fontId="9" fillId="0" borderId="0" xfId="11" applyFont="1" applyFill="1" applyBorder="1" applyProtection="1"/>
    <xf numFmtId="0" fontId="39" fillId="18" borderId="25" xfId="0" applyFont="1" applyFill="1" applyBorder="1"/>
    <xf numFmtId="165" fontId="9" fillId="0" borderId="0" xfId="5" applyFont="1" applyBorder="1" applyProtection="1"/>
    <xf numFmtId="0" fontId="30" fillId="18" borderId="22" xfId="0" applyFont="1" applyFill="1" applyBorder="1"/>
    <xf numFmtId="0" fontId="23" fillId="0" borderId="41" xfId="0" applyFont="1" applyBorder="1" applyAlignment="1">
      <alignment horizontal="left"/>
    </xf>
    <xf numFmtId="165" fontId="23" fillId="0" borderId="1" xfId="5" applyFont="1" applyFill="1" applyBorder="1" applyProtection="1"/>
    <xf numFmtId="0" fontId="9" fillId="0" borderId="41" xfId="0" applyFont="1" applyBorder="1" applyAlignment="1">
      <alignment horizontal="left" indent="1"/>
    </xf>
    <xf numFmtId="175" fontId="9" fillId="0" borderId="1" xfId="0" applyNumberFormat="1" applyFont="1" applyBorder="1"/>
    <xf numFmtId="165" fontId="9" fillId="0" borderId="0" xfId="5" applyFont="1" applyFill="1" applyBorder="1" applyProtection="1"/>
    <xf numFmtId="170" fontId="9" fillId="0" borderId="21" xfId="0" applyNumberFormat="1" applyFont="1" applyBorder="1"/>
    <xf numFmtId="0" fontId="9" fillId="0" borderId="41" xfId="0" applyFont="1" applyBorder="1" applyAlignment="1">
      <alignment horizontal="left"/>
    </xf>
    <xf numFmtId="0" fontId="23" fillId="0" borderId="47" xfId="0" applyFont="1" applyBorder="1" applyAlignment="1">
      <alignment horizontal="left" indent="1"/>
    </xf>
    <xf numFmtId="175" fontId="23" fillId="0" borderId="48" xfId="0" applyNumberFormat="1" applyFont="1" applyBorder="1"/>
    <xf numFmtId="175" fontId="9" fillId="0" borderId="6" xfId="0" applyNumberFormat="1" applyFont="1" applyBorder="1"/>
    <xf numFmtId="0" fontId="26" fillId="0" borderId="22" xfId="0" applyFont="1" applyBorder="1"/>
    <xf numFmtId="0" fontId="9" fillId="0" borderId="23" xfId="0" applyFont="1" applyBorder="1"/>
    <xf numFmtId="165" fontId="9" fillId="0" borderId="23" xfId="5" applyFont="1" applyBorder="1" applyProtection="1"/>
    <xf numFmtId="0" fontId="102" fillId="0" borderId="15" xfId="0" applyFont="1" applyBorder="1" applyAlignment="1">
      <alignment horizontal="center"/>
    </xf>
    <xf numFmtId="0" fontId="102" fillId="0" borderId="0" xfId="0" applyFont="1" applyAlignment="1">
      <alignment horizontal="center"/>
    </xf>
    <xf numFmtId="0" fontId="102" fillId="0" borderId="21" xfId="0" applyFont="1" applyBorder="1" applyAlignment="1">
      <alignment horizontal="center"/>
    </xf>
    <xf numFmtId="0" fontId="68" fillId="0" borderId="0" xfId="0" applyFont="1" applyAlignment="1">
      <alignment horizontal="center"/>
    </xf>
    <xf numFmtId="165" fontId="16" fillId="0" borderId="0" xfId="5" applyFont="1" applyFill="1" applyProtection="1"/>
    <xf numFmtId="165" fontId="0" fillId="0" borderId="0" xfId="5" applyFont="1" applyFill="1" applyProtection="1"/>
    <xf numFmtId="0" fontId="16" fillId="0" borderId="40" xfId="0" applyFont="1" applyBorder="1" applyAlignment="1">
      <alignment horizontal="center" vertical="center" wrapText="1"/>
    </xf>
    <xf numFmtId="0" fontId="25" fillId="0" borderId="40" xfId="0" applyFont="1" applyBorder="1" applyAlignment="1">
      <alignment horizontal="center" vertical="center" wrapText="1"/>
    </xf>
    <xf numFmtId="0" fontId="0" fillId="0" borderId="40" xfId="0" applyBorder="1" applyAlignment="1">
      <alignment wrapText="1"/>
    </xf>
    <xf numFmtId="164" fontId="0" fillId="0" borderId="40" xfId="0" applyNumberFormat="1" applyBorder="1" applyAlignment="1">
      <alignment wrapText="1"/>
    </xf>
    <xf numFmtId="164" fontId="0" fillId="10" borderId="40" xfId="0" applyNumberFormat="1" applyFill="1" applyBorder="1" applyAlignment="1">
      <alignment wrapText="1"/>
    </xf>
    <xf numFmtId="165" fontId="72" fillId="19" borderId="39" xfId="5" applyFont="1" applyFill="1" applyBorder="1" applyAlignment="1" applyProtection="1">
      <alignment vertical="top"/>
    </xf>
    <xf numFmtId="165" fontId="16" fillId="0" borderId="40" xfId="5" applyFont="1" applyBorder="1" applyAlignment="1" applyProtection="1">
      <alignment wrapText="1"/>
    </xf>
    <xf numFmtId="164" fontId="16" fillId="0" borderId="40" xfId="5" applyNumberFormat="1" applyFont="1" applyFill="1" applyBorder="1" applyAlignment="1" applyProtection="1">
      <alignment wrapText="1"/>
    </xf>
    <xf numFmtId="165" fontId="16" fillId="0" borderId="0" xfId="5" applyFont="1" applyBorder="1" applyAlignment="1" applyProtection="1">
      <alignment wrapText="1"/>
    </xf>
    <xf numFmtId="0" fontId="40" fillId="0" borderId="0" xfId="0" applyFont="1" applyAlignment="1">
      <alignment horizontal="center"/>
    </xf>
    <xf numFmtId="164" fontId="16" fillId="0" borderId="40" xfId="0" applyNumberFormat="1" applyFont="1" applyBorder="1" applyAlignment="1">
      <alignment wrapText="1"/>
    </xf>
    <xf numFmtId="165" fontId="16" fillId="0" borderId="0" xfId="5" applyFont="1" applyProtection="1"/>
    <xf numFmtId="0" fontId="16" fillId="0" borderId="51" xfId="0" applyFont="1" applyBorder="1" applyAlignment="1">
      <alignment horizontal="center" vertical="center" wrapText="1"/>
    </xf>
    <xf numFmtId="0" fontId="0" fillId="0" borderId="38" xfId="0" applyBorder="1"/>
    <xf numFmtId="0" fontId="0" fillId="0" borderId="50" xfId="0" applyBorder="1" applyAlignment="1">
      <alignment wrapText="1"/>
    </xf>
    <xf numFmtId="0" fontId="22" fillId="0" borderId="0" xfId="0" applyFont="1"/>
    <xf numFmtId="0" fontId="0" fillId="0" borderId="18" xfId="0" applyBorder="1"/>
    <xf numFmtId="0" fontId="24" fillId="0" borderId="0" xfId="0" applyFont="1" applyAlignment="1">
      <alignment vertical="center"/>
    </xf>
    <xf numFmtId="0" fontId="14" fillId="0" borderId="0" xfId="0" applyFont="1" applyAlignment="1">
      <alignment vertical="center" wrapText="1"/>
    </xf>
    <xf numFmtId="0" fontId="39" fillId="18" borderId="43" xfId="0" applyFont="1" applyFill="1" applyBorder="1" applyAlignment="1">
      <alignment horizontal="center" vertical="center"/>
    </xf>
    <xf numFmtId="0" fontId="39" fillId="18" borderId="81" xfId="0" applyFont="1" applyFill="1" applyBorder="1" applyAlignment="1">
      <alignment horizontal="center" vertical="center"/>
    </xf>
    <xf numFmtId="0" fontId="39" fillId="18" borderId="33" xfId="0" applyFont="1" applyFill="1" applyBorder="1" applyAlignment="1">
      <alignment horizontal="center" vertical="center"/>
    </xf>
    <xf numFmtId="0" fontId="39" fillId="18" borderId="38" xfId="0" applyFont="1" applyFill="1" applyBorder="1" applyAlignment="1">
      <alignment horizontal="center" vertical="center"/>
    </xf>
    <xf numFmtId="0" fontId="65" fillId="0" borderId="15" xfId="0" applyFont="1" applyBorder="1" applyAlignment="1">
      <alignment vertical="center"/>
    </xf>
    <xf numFmtId="0" fontId="64" fillId="12" borderId="15" xfId="0" applyFont="1" applyFill="1" applyBorder="1" applyAlignment="1">
      <alignment vertical="center" wrapText="1"/>
    </xf>
    <xf numFmtId="0" fontId="64" fillId="12" borderId="17" xfId="0" applyFont="1" applyFill="1" applyBorder="1" applyAlignment="1">
      <alignment vertical="center" wrapText="1"/>
    </xf>
    <xf numFmtId="0" fontId="64" fillId="12" borderId="0" xfId="0" applyFont="1" applyFill="1" applyAlignment="1">
      <alignment vertical="center" wrapText="1"/>
    </xf>
    <xf numFmtId="0" fontId="9" fillId="12" borderId="17" xfId="0" applyFont="1" applyFill="1" applyBorder="1" applyAlignment="1">
      <alignment vertical="center" wrapText="1"/>
    </xf>
    <xf numFmtId="0" fontId="64" fillId="0" borderId="15" xfId="0" applyFont="1" applyBorder="1" applyAlignment="1">
      <alignment vertical="center"/>
    </xf>
    <xf numFmtId="165" fontId="64" fillId="0" borderId="42" xfId="5" applyFont="1" applyBorder="1" applyAlignment="1" applyProtection="1">
      <alignment vertical="center"/>
    </xf>
    <xf numFmtId="165" fontId="64" fillId="0" borderId="36" xfId="5" applyFont="1" applyBorder="1" applyAlignment="1" applyProtection="1">
      <alignment vertical="center"/>
    </xf>
    <xf numFmtId="165" fontId="64" fillId="0" borderId="9" xfId="0" applyNumberFormat="1" applyFont="1" applyBorder="1" applyAlignment="1">
      <alignment vertical="center"/>
    </xf>
    <xf numFmtId="0" fontId="9" fillId="12" borderId="36" xfId="0" applyFont="1" applyFill="1" applyBorder="1" applyAlignment="1">
      <alignment vertical="center" wrapText="1"/>
    </xf>
    <xf numFmtId="0" fontId="64" fillId="12" borderId="36" xfId="0" applyFont="1" applyFill="1" applyBorder="1" applyAlignment="1">
      <alignment vertical="center"/>
    </xf>
    <xf numFmtId="0" fontId="63" fillId="0" borderId="22" xfId="0" applyFont="1" applyBorder="1" applyAlignment="1">
      <alignment vertical="center"/>
    </xf>
    <xf numFmtId="165" fontId="63" fillId="0" borderId="22" xfId="5" applyFont="1" applyBorder="1" applyAlignment="1" applyProtection="1">
      <alignment vertical="center"/>
    </xf>
    <xf numFmtId="165" fontId="63" fillId="0" borderId="18" xfId="5" applyFont="1" applyBorder="1" applyAlignment="1" applyProtection="1">
      <alignment vertical="center"/>
    </xf>
    <xf numFmtId="165" fontId="63" fillId="0" borderId="23" xfId="5" applyFont="1" applyBorder="1" applyAlignment="1" applyProtection="1">
      <alignment vertical="center"/>
    </xf>
    <xf numFmtId="0" fontId="64" fillId="0" borderId="38" xfId="0" applyFont="1" applyBorder="1" applyAlignment="1">
      <alignment vertical="center"/>
    </xf>
    <xf numFmtId="165" fontId="63" fillId="0" borderId="33" xfId="0" applyNumberFormat="1" applyFont="1" applyBorder="1" applyAlignment="1">
      <alignment vertical="center"/>
    </xf>
    <xf numFmtId="165" fontId="63" fillId="0" borderId="38" xfId="0" applyNumberFormat="1" applyFont="1" applyBorder="1" applyAlignment="1">
      <alignment vertical="center"/>
    </xf>
    <xf numFmtId="0" fontId="64" fillId="12" borderId="38" xfId="0" applyFont="1" applyFill="1" applyBorder="1" applyAlignment="1">
      <alignment vertical="center"/>
    </xf>
    <xf numFmtId="0" fontId="64" fillId="12" borderId="15" xfId="0" applyFont="1" applyFill="1" applyBorder="1" applyAlignment="1">
      <alignment vertical="center"/>
    </xf>
    <xf numFmtId="0" fontId="64" fillId="12" borderId="17" xfId="0" applyFont="1" applyFill="1" applyBorder="1" applyAlignment="1">
      <alignment vertical="center"/>
    </xf>
    <xf numFmtId="0" fontId="64" fillId="12" borderId="0" xfId="0" applyFont="1" applyFill="1" applyAlignment="1">
      <alignment vertical="center"/>
    </xf>
    <xf numFmtId="165" fontId="64" fillId="0" borderId="42" xfId="0" applyNumberFormat="1" applyFont="1" applyBorder="1" applyAlignment="1">
      <alignment vertical="center"/>
    </xf>
    <xf numFmtId="165" fontId="64" fillId="0" borderId="36" xfId="0" applyNumberFormat="1" applyFont="1" applyBorder="1" applyAlignment="1">
      <alignment vertical="center"/>
    </xf>
    <xf numFmtId="165" fontId="64" fillId="0" borderId="42" xfId="5" applyFont="1" applyFill="1" applyBorder="1" applyAlignment="1" applyProtection="1">
      <alignment vertical="center"/>
    </xf>
    <xf numFmtId="165" fontId="64" fillId="0" borderId="36" xfId="5" applyFont="1" applyFill="1" applyBorder="1" applyAlignment="1" applyProtection="1">
      <alignment vertical="center"/>
    </xf>
    <xf numFmtId="165" fontId="64" fillId="0" borderId="9" xfId="5" applyFont="1" applyFill="1" applyBorder="1" applyAlignment="1" applyProtection="1">
      <alignment vertical="center"/>
    </xf>
    <xf numFmtId="165" fontId="9" fillId="0" borderId="36" xfId="5" applyFont="1" applyFill="1" applyBorder="1" applyAlignment="1" applyProtection="1">
      <alignment vertical="center" wrapText="1"/>
    </xf>
    <xf numFmtId="0" fontId="65" fillId="0" borderId="25" xfId="0" applyFont="1" applyBorder="1" applyAlignment="1">
      <alignment vertical="center"/>
    </xf>
    <xf numFmtId="0" fontId="64" fillId="12" borderId="25" xfId="0" applyFont="1" applyFill="1" applyBorder="1" applyAlignment="1">
      <alignment vertical="center"/>
    </xf>
    <xf numFmtId="0" fontId="64" fillId="12" borderId="16" xfId="0" applyFont="1" applyFill="1" applyBorder="1" applyAlignment="1">
      <alignment vertical="center"/>
    </xf>
    <xf numFmtId="0" fontId="64" fillId="12" borderId="26" xfId="0" applyFont="1" applyFill="1" applyBorder="1" applyAlignment="1">
      <alignment vertical="center"/>
    </xf>
    <xf numFmtId="0" fontId="9" fillId="12" borderId="16" xfId="0" applyFont="1" applyFill="1" applyBorder="1" applyAlignment="1">
      <alignment vertical="center" wrapText="1"/>
    </xf>
    <xf numFmtId="0" fontId="66" fillId="0" borderId="0" xfId="0" applyFont="1" applyAlignment="1">
      <alignment vertical="center"/>
    </xf>
    <xf numFmtId="0" fontId="23" fillId="0" borderId="22" xfId="0" applyFont="1" applyBorder="1"/>
    <xf numFmtId="165" fontId="23" fillId="0" borderId="22" xfId="0" applyNumberFormat="1" applyFont="1" applyBorder="1"/>
    <xf numFmtId="165" fontId="23" fillId="0" borderId="18" xfId="0" applyNumberFormat="1" applyFont="1" applyBorder="1"/>
    <xf numFmtId="0" fontId="64" fillId="2" borderId="15" xfId="0" applyFont="1" applyFill="1" applyBorder="1" applyAlignment="1" applyProtection="1">
      <alignment vertical="center"/>
      <protection locked="0"/>
    </xf>
    <xf numFmtId="9" fontId="2" fillId="0" borderId="0" xfId="1" applyFont="1" applyFill="1" applyBorder="1" applyAlignment="1" applyProtection="1">
      <alignment horizontal="center" wrapText="1"/>
    </xf>
    <xf numFmtId="9" fontId="1" fillId="0" borderId="0" xfId="1" applyFont="1" applyFill="1" applyBorder="1" applyAlignment="1" applyProtection="1">
      <alignment horizontal="center"/>
    </xf>
    <xf numFmtId="0" fontId="79" fillId="0" borderId="0" xfId="0" applyFont="1" applyAlignment="1">
      <alignment vertical="top"/>
    </xf>
    <xf numFmtId="0" fontId="1" fillId="0" borderId="0" xfId="0" applyFont="1" applyAlignment="1">
      <alignment horizontal="left" vertical="top" indent="2"/>
    </xf>
    <xf numFmtId="0" fontId="2" fillId="0" borderId="0" xfId="0" applyFont="1" applyAlignment="1">
      <alignment horizontal="left" wrapText="1"/>
    </xf>
    <xf numFmtId="1" fontId="0" fillId="0" borderId="0" xfId="0" applyNumberFormat="1"/>
    <xf numFmtId="179" fontId="45" fillId="10" borderId="38" xfId="1" applyNumberFormat="1" applyFont="1" applyFill="1" applyBorder="1" applyAlignment="1" applyProtection="1">
      <alignment horizontal="center"/>
    </xf>
    <xf numFmtId="0" fontId="99" fillId="12" borderId="0" xfId="0" applyFont="1" applyFill="1" applyAlignment="1">
      <alignment horizontal="left" vertical="center"/>
    </xf>
    <xf numFmtId="0" fontId="99" fillId="24" borderId="0" xfId="0" applyFont="1" applyFill="1" applyAlignment="1">
      <alignment horizontal="left" vertical="center"/>
    </xf>
    <xf numFmtId="0" fontId="0" fillId="25" borderId="0" xfId="0" applyFill="1" applyAlignment="1">
      <alignment vertical="top"/>
    </xf>
    <xf numFmtId="49" fontId="0" fillId="0" borderId="0" xfId="0" applyNumberFormat="1"/>
    <xf numFmtId="178" fontId="0" fillId="0" borderId="0" xfId="0" applyNumberFormat="1"/>
    <xf numFmtId="1" fontId="0" fillId="0" borderId="0" xfId="0" applyNumberFormat="1" applyAlignment="1">
      <alignment vertical="top"/>
    </xf>
    <xf numFmtId="2" fontId="0" fillId="0" borderId="0" xfId="0" applyNumberFormat="1" applyAlignment="1">
      <alignment vertical="top"/>
    </xf>
    <xf numFmtId="165" fontId="0" fillId="0" borderId="0" xfId="0" applyNumberFormat="1" applyAlignment="1">
      <alignment vertical="top"/>
    </xf>
    <xf numFmtId="166" fontId="0" fillId="0" borderId="0" xfId="0" applyNumberFormat="1" applyAlignment="1">
      <alignment vertical="top"/>
    </xf>
    <xf numFmtId="176" fontId="0" fillId="0" borderId="0" xfId="0" applyNumberFormat="1" applyAlignment="1">
      <alignment vertical="top"/>
    </xf>
    <xf numFmtId="165" fontId="64" fillId="2" borderId="42" xfId="5" applyFont="1" applyFill="1" applyBorder="1" applyAlignment="1" applyProtection="1">
      <alignment vertical="center"/>
      <protection locked="0"/>
    </xf>
    <xf numFmtId="165" fontId="64" fillId="2" borderId="36" xfId="5" applyFont="1" applyFill="1" applyBorder="1" applyAlignment="1" applyProtection="1">
      <alignment vertical="center"/>
      <protection locked="0"/>
    </xf>
    <xf numFmtId="165" fontId="64" fillId="2" borderId="9" xfId="5" applyFont="1" applyFill="1" applyBorder="1" applyAlignment="1" applyProtection="1">
      <alignment vertical="center"/>
      <protection locked="0"/>
    </xf>
    <xf numFmtId="0" fontId="27" fillId="0" borderId="17" xfId="0" applyFont="1" applyBorder="1" applyAlignment="1">
      <alignment horizontal="left" indent="1"/>
    </xf>
    <xf numFmtId="0" fontId="23" fillId="10" borderId="2" xfId="0" applyFont="1" applyFill="1" applyBorder="1" applyAlignment="1">
      <alignment horizontal="left" vertical="center" indent="1"/>
    </xf>
    <xf numFmtId="49" fontId="4" fillId="2" borderId="84" xfId="11" applyNumberFormat="1" applyFont="1" applyFill="1" applyBorder="1" applyAlignment="1" applyProtection="1">
      <alignment horizontal="center"/>
      <protection locked="0"/>
    </xf>
    <xf numFmtId="49" fontId="4" fillId="2" borderId="61" xfId="11" applyNumberFormat="1" applyFont="1" applyFill="1" applyBorder="1" applyAlignment="1" applyProtection="1">
      <alignment horizontal="center"/>
      <protection locked="0"/>
    </xf>
    <xf numFmtId="165" fontId="9" fillId="2" borderId="1" xfId="5" applyFont="1" applyFill="1" applyBorder="1" applyProtection="1">
      <protection locked="0"/>
    </xf>
    <xf numFmtId="0" fontId="79" fillId="0" borderId="0" xfId="0" applyFont="1"/>
    <xf numFmtId="0" fontId="2" fillId="0" borderId="0" xfId="0" applyFont="1" applyAlignment="1">
      <alignment horizontal="center" vertical="center" wrapText="1"/>
    </xf>
    <xf numFmtId="0" fontId="84" fillId="0" borderId="0" xfId="0" applyFont="1" applyAlignment="1">
      <alignment horizontal="center" vertical="center"/>
    </xf>
    <xf numFmtId="0" fontId="1" fillId="0" borderId="0" xfId="0" applyFont="1" applyAlignment="1">
      <alignment horizontal="right" vertical="center"/>
    </xf>
    <xf numFmtId="0" fontId="4" fillId="22" borderId="74" xfId="5" applyNumberFormat="1" applyFont="1" applyFill="1" applyBorder="1" applyAlignment="1" applyProtection="1">
      <alignment horizontal="left" vertical="center"/>
    </xf>
    <xf numFmtId="14" fontId="4" fillId="22" borderId="74" xfId="5" applyNumberFormat="1" applyFont="1" applyFill="1" applyBorder="1" applyAlignment="1" applyProtection="1">
      <alignment horizontal="center" vertical="center"/>
    </xf>
    <xf numFmtId="9" fontId="4" fillId="0" borderId="0" xfId="1" quotePrefix="1" applyFont="1" applyFill="1" applyBorder="1" applyAlignment="1" applyProtection="1">
      <alignment horizontal="center" vertical="center"/>
    </xf>
    <xf numFmtId="3" fontId="1" fillId="0" borderId="10" xfId="0" applyNumberFormat="1" applyFont="1" applyBorder="1" applyAlignment="1">
      <alignment horizontal="center" vertical="center"/>
    </xf>
    <xf numFmtId="0" fontId="113" fillId="28" borderId="85" xfId="0" applyFont="1" applyFill="1" applyBorder="1" applyAlignment="1">
      <alignment horizontal="left" vertical="center" wrapText="1"/>
    </xf>
    <xf numFmtId="0" fontId="113" fillId="28" borderId="86" xfId="0" applyFont="1" applyFill="1" applyBorder="1" applyAlignment="1">
      <alignment horizontal="left" vertical="center" wrapText="1"/>
    </xf>
    <xf numFmtId="0" fontId="113" fillId="28" borderId="87" xfId="0" applyFont="1" applyFill="1" applyBorder="1" applyAlignment="1">
      <alignment horizontal="center" vertical="center" wrapText="1"/>
    </xf>
    <xf numFmtId="0" fontId="113" fillId="28" borderId="88" xfId="0" applyFont="1" applyFill="1" applyBorder="1" applyAlignment="1">
      <alignment horizontal="left" vertical="center" wrapText="1"/>
    </xf>
    <xf numFmtId="0" fontId="113" fillId="28" borderId="0" xfId="0" applyFont="1" applyFill="1" applyAlignment="1">
      <alignment horizontal="left" vertical="center" wrapText="1"/>
    </xf>
    <xf numFmtId="0" fontId="113" fillId="28" borderId="89" xfId="0" applyFont="1" applyFill="1" applyBorder="1" applyAlignment="1">
      <alignment horizontal="center" vertical="center" wrapText="1"/>
    </xf>
    <xf numFmtId="0" fontId="115" fillId="0" borderId="88" xfId="0" applyFont="1" applyBorder="1" applyAlignment="1">
      <alignment horizontal="left" vertical="center" wrapText="1"/>
    </xf>
    <xf numFmtId="0" fontId="115" fillId="0" borderId="0" xfId="0" applyFont="1" applyAlignment="1">
      <alignment horizontal="left" vertical="center" wrapText="1"/>
    </xf>
    <xf numFmtId="0" fontId="115" fillId="0" borderId="89" xfId="0" applyFont="1" applyBorder="1" applyAlignment="1">
      <alignment horizontal="center" vertical="center" wrapText="1"/>
    </xf>
    <xf numFmtId="0" fontId="115" fillId="0" borderId="90" xfId="0" applyFont="1" applyBorder="1" applyAlignment="1">
      <alignment horizontal="left" vertical="center" wrapText="1"/>
    </xf>
    <xf numFmtId="0" fontId="115" fillId="0" borderId="91" xfId="0" applyFont="1" applyBorder="1" applyAlignment="1">
      <alignment horizontal="left" vertical="center" wrapText="1"/>
    </xf>
    <xf numFmtId="0" fontId="115" fillId="0" borderId="92" xfId="0" applyFont="1" applyBorder="1" applyAlignment="1">
      <alignment horizontal="center" vertical="center" wrapText="1"/>
    </xf>
    <xf numFmtId="0" fontId="88" fillId="0" borderId="0" xfId="0" applyFont="1" applyAlignment="1">
      <alignment horizontal="right" vertical="top"/>
    </xf>
    <xf numFmtId="0" fontId="82" fillId="0" borderId="0" xfId="1" quotePrefix="1" applyNumberFormat="1" applyFont="1" applyFill="1" applyBorder="1" applyAlignment="1" applyProtection="1">
      <alignment horizontal="center" vertical="center"/>
    </xf>
    <xf numFmtId="4" fontId="82" fillId="21" borderId="74" xfId="11" quotePrefix="1" applyNumberFormat="1" applyFont="1" applyFill="1" applyBorder="1" applyAlignment="1" applyProtection="1">
      <alignment horizontal="center" vertical="center"/>
    </xf>
    <xf numFmtId="2" fontId="4" fillId="22" borderId="74" xfId="5" applyNumberFormat="1" applyFont="1" applyFill="1" applyBorder="1" applyAlignment="1" applyProtection="1">
      <alignment horizontal="left" vertical="top"/>
    </xf>
    <xf numFmtId="0" fontId="4" fillId="22" borderId="74" xfId="5" applyNumberFormat="1" applyFont="1" applyFill="1" applyBorder="1" applyAlignment="1" applyProtection="1">
      <alignment horizontal="left" vertical="top"/>
    </xf>
    <xf numFmtId="9" fontId="87" fillId="0" borderId="0" xfId="1" applyFont="1" applyFill="1" applyAlignment="1" applyProtection="1">
      <alignment horizontal="center" wrapText="1"/>
    </xf>
    <xf numFmtId="9" fontId="95" fillId="0" borderId="0" xfId="1" applyFont="1" applyFill="1" applyAlignment="1" applyProtection="1">
      <alignment horizontal="center" wrapText="1"/>
    </xf>
    <xf numFmtId="9" fontId="4" fillId="0" borderId="74" xfId="1" applyFont="1" applyFill="1" applyBorder="1" applyAlignment="1" applyProtection="1">
      <alignment horizontal="center" vertical="center"/>
    </xf>
    <xf numFmtId="10" fontId="4" fillId="0" borderId="0" xfId="1" applyNumberFormat="1" applyFont="1" applyFill="1" applyBorder="1" applyAlignment="1" applyProtection="1">
      <alignment horizontal="center" vertical="center"/>
    </xf>
    <xf numFmtId="9" fontId="4" fillId="0" borderId="93" xfId="1" applyFont="1" applyFill="1" applyBorder="1" applyAlignment="1" applyProtection="1">
      <alignment horizontal="center" vertical="center"/>
    </xf>
    <xf numFmtId="9" fontId="4" fillId="0" borderId="94" xfId="1" applyFont="1" applyFill="1" applyBorder="1" applyAlignment="1" applyProtection="1">
      <alignment horizontal="center" vertical="center"/>
    </xf>
    <xf numFmtId="10" fontId="1" fillId="0" borderId="0" xfId="1" applyNumberFormat="1" applyFont="1" applyFill="1" applyBorder="1" applyAlignment="1" applyProtection="1">
      <alignment horizontal="center"/>
    </xf>
    <xf numFmtId="9" fontId="119" fillId="0" borderId="0" xfId="1" applyFont="1" applyFill="1" applyBorder="1" applyAlignment="1" applyProtection="1">
      <alignment horizontal="center" vertical="center"/>
    </xf>
    <xf numFmtId="172" fontId="119" fillId="0" borderId="0" xfId="1" applyNumberFormat="1" applyFont="1" applyFill="1" applyBorder="1" applyAlignment="1" applyProtection="1">
      <alignment horizontal="center" vertical="center"/>
    </xf>
    <xf numFmtId="0" fontId="89" fillId="0" borderId="0" xfId="5" applyNumberFormat="1" applyFont="1" applyFill="1" applyBorder="1" applyAlignment="1" applyProtection="1">
      <alignment horizontal="left" vertical="center"/>
    </xf>
    <xf numFmtId="176" fontId="4" fillId="0" borderId="0" xfId="5" applyNumberFormat="1" applyFont="1" applyFill="1" applyBorder="1" applyAlignment="1" applyProtection="1">
      <alignment horizontal="center" vertical="center"/>
    </xf>
    <xf numFmtId="165" fontId="4" fillId="0" borderId="0" xfId="5" applyFont="1" applyAlignment="1" applyProtection="1"/>
    <xf numFmtId="14" fontId="4" fillId="13" borderId="4" xfId="5" applyNumberFormat="1" applyFont="1" applyFill="1" applyBorder="1" applyAlignment="1" applyProtection="1">
      <alignment horizontal="center" vertical="top"/>
    </xf>
    <xf numFmtId="0" fontId="82" fillId="21" borderId="4" xfId="1" quotePrefix="1" applyNumberFormat="1" applyFont="1" applyFill="1" applyBorder="1" applyAlignment="1" applyProtection="1">
      <alignment horizontal="center" vertical="center"/>
    </xf>
    <xf numFmtId="49" fontId="4" fillId="13" borderId="75" xfId="5" applyNumberFormat="1" applyFont="1" applyFill="1" applyBorder="1" applyAlignment="1" applyProtection="1">
      <alignment horizontal="center" vertical="top"/>
    </xf>
    <xf numFmtId="0" fontId="4" fillId="8" borderId="4" xfId="5" applyNumberFormat="1" applyFont="1" applyFill="1" applyBorder="1" applyAlignment="1" applyProtection="1">
      <alignment horizontal="left" vertical="top"/>
    </xf>
    <xf numFmtId="0" fontId="4" fillId="13" borderId="75" xfId="5" applyNumberFormat="1" applyFont="1" applyFill="1" applyBorder="1" applyAlignment="1" applyProtection="1">
      <alignment horizontal="center" vertical="top"/>
    </xf>
    <xf numFmtId="9" fontId="93" fillId="0" borderId="0" xfId="1" quotePrefix="1" applyFont="1" applyBorder="1" applyAlignment="1" applyProtection="1">
      <alignment horizontal="left" vertical="top"/>
    </xf>
    <xf numFmtId="9" fontId="111" fillId="0" borderId="0" xfId="1" applyFont="1" applyFill="1" applyAlignment="1" applyProtection="1">
      <alignment horizontal="left" vertical="top"/>
    </xf>
    <xf numFmtId="9" fontId="94" fillId="0" borderId="0" xfId="1" quotePrefix="1" applyFont="1" applyFill="1" applyBorder="1" applyAlignment="1" applyProtection="1">
      <alignment horizontal="left" vertical="top"/>
    </xf>
    <xf numFmtId="165" fontId="4" fillId="0" borderId="75" xfId="5" applyFont="1" applyFill="1" applyBorder="1" applyAlignment="1" applyProtection="1">
      <alignment horizontal="left" vertical="center"/>
    </xf>
    <xf numFmtId="165" fontId="4" fillId="0" borderId="0" xfId="5" quotePrefix="1" applyFont="1" applyFill="1" applyBorder="1" applyAlignment="1" applyProtection="1">
      <alignment horizontal="left" vertical="top"/>
    </xf>
    <xf numFmtId="165" fontId="4" fillId="0" borderId="0" xfId="5" quotePrefix="1" applyFont="1" applyFill="1" applyBorder="1" applyAlignment="1" applyProtection="1">
      <alignment horizontal="left" vertical="top" wrapText="1"/>
    </xf>
    <xf numFmtId="165" fontId="87" fillId="0" borderId="75" xfId="5" applyFont="1" applyFill="1" applyBorder="1" applyAlignment="1" applyProtection="1">
      <alignment horizontal="left" vertical="center"/>
    </xf>
    <xf numFmtId="9" fontId="94" fillId="0" borderId="0" xfId="1" quotePrefix="1" applyFont="1" applyBorder="1" applyAlignment="1" applyProtection="1">
      <alignment horizontal="left" vertical="top"/>
    </xf>
    <xf numFmtId="9" fontId="90" fillId="0" borderId="0" xfId="1" quotePrefix="1" applyFont="1" applyFill="1" applyBorder="1" applyAlignment="1" applyProtection="1">
      <alignment horizontal="left" vertical="top"/>
    </xf>
    <xf numFmtId="165" fontId="72" fillId="30" borderId="4" xfId="5" applyFont="1" applyFill="1" applyBorder="1" applyAlignment="1" applyProtection="1">
      <alignment horizontal="left" vertical="center"/>
    </xf>
    <xf numFmtId="0" fontId="27" fillId="14" borderId="42" xfId="0" applyFont="1" applyFill="1" applyBorder="1" applyAlignment="1">
      <alignment horizontal="right"/>
    </xf>
    <xf numFmtId="0" fontId="27" fillId="14" borderId="61" xfId="0" applyFont="1" applyFill="1" applyBorder="1" applyAlignment="1">
      <alignment horizontal="right"/>
    </xf>
    <xf numFmtId="167" fontId="27" fillId="10" borderId="58" xfId="0" applyNumberFormat="1" applyFont="1" applyFill="1" applyBorder="1"/>
    <xf numFmtId="167" fontId="27" fillId="10" borderId="60" xfId="0" applyNumberFormat="1" applyFont="1" applyFill="1" applyBorder="1"/>
    <xf numFmtId="49" fontId="27" fillId="2" borderId="16" xfId="0" applyNumberFormat="1" applyFont="1" applyFill="1" applyBorder="1" applyProtection="1">
      <protection locked="0"/>
    </xf>
    <xf numFmtId="49" fontId="4" fillId="22" borderId="4" xfId="5" applyNumberFormat="1" applyFont="1" applyFill="1" applyBorder="1" applyAlignment="1" applyProtection="1">
      <alignment horizontal="left" vertical="top"/>
    </xf>
    <xf numFmtId="0" fontId="4" fillId="2" borderId="74" xfId="5" applyNumberFormat="1" applyFont="1" applyFill="1" applyBorder="1" applyAlignment="1" applyProtection="1">
      <alignment horizontal="center" vertical="center"/>
      <protection locked="0"/>
    </xf>
    <xf numFmtId="14" fontId="4" fillId="2" borderId="74" xfId="5" applyNumberFormat="1" applyFont="1" applyFill="1" applyBorder="1" applyAlignment="1" applyProtection="1">
      <alignment horizontal="left" vertical="center"/>
    </xf>
    <xf numFmtId="49" fontId="8" fillId="2" borderId="1" xfId="3" applyNumberFormat="1" applyFill="1" applyBorder="1" applyAlignment="1" applyProtection="1">
      <alignment vertical="center"/>
      <protection locked="0"/>
    </xf>
    <xf numFmtId="0" fontId="99" fillId="24" borderId="0" xfId="0" applyFont="1" applyFill="1" applyAlignment="1">
      <alignment horizontal="center" vertical="center"/>
    </xf>
    <xf numFmtId="0" fontId="99" fillId="25" borderId="0" xfId="0" applyFont="1" applyFill="1" applyAlignment="1">
      <alignment horizontal="center" vertical="center"/>
    </xf>
    <xf numFmtId="14" fontId="0" fillId="0" borderId="0" xfId="0" applyNumberFormat="1" applyAlignment="1">
      <alignment vertical="top"/>
    </xf>
    <xf numFmtId="0" fontId="0" fillId="0" borderId="0" xfId="0" applyAlignment="1">
      <alignment vertical="top"/>
    </xf>
    <xf numFmtId="0" fontId="82" fillId="21" borderId="77" xfId="1" quotePrefix="1" applyNumberFormat="1" applyFont="1" applyFill="1" applyBorder="1" applyAlignment="1" applyProtection="1">
      <alignment horizontal="center" vertical="center"/>
    </xf>
    <xf numFmtId="0" fontId="9" fillId="11" borderId="15" xfId="0" applyFont="1" applyFill="1" applyBorder="1"/>
    <xf numFmtId="166" fontId="87" fillId="0" borderId="75" xfId="11" applyFont="1" applyFill="1" applyBorder="1" applyAlignment="1" applyProtection="1">
      <alignment horizontal="left" vertical="center"/>
    </xf>
    <xf numFmtId="49" fontId="4" fillId="2" borderId="96" xfId="11" applyNumberFormat="1" applyFont="1" applyFill="1" applyBorder="1" applyAlignment="1" applyProtection="1">
      <alignment horizontal="center"/>
      <protection locked="0"/>
    </xf>
    <xf numFmtId="0" fontId="30" fillId="3" borderId="38" xfId="0" applyFont="1" applyFill="1" applyBorder="1" applyAlignment="1">
      <alignment horizontal="left" vertical="center" wrapText="1"/>
    </xf>
    <xf numFmtId="170" fontId="9" fillId="0" borderId="0" xfId="0" applyNumberFormat="1" applyFont="1"/>
    <xf numFmtId="0" fontId="0" fillId="0" borderId="0" xfId="0" applyAlignment="1">
      <alignment horizontal="left" vertical="center" indent="4"/>
    </xf>
    <xf numFmtId="0" fontId="31" fillId="0" borderId="15" xfId="0" applyFont="1" applyBorder="1" applyAlignment="1">
      <alignment vertical="center"/>
    </xf>
    <xf numFmtId="0" fontId="36" fillId="0" borderId="15" xfId="0" applyFont="1" applyBorder="1" applyAlignment="1">
      <alignment horizontal="left" vertical="center"/>
    </xf>
    <xf numFmtId="0" fontId="36" fillId="0" borderId="15" xfId="0" applyFont="1" applyBorder="1" applyAlignment="1">
      <alignment horizontal="center" vertical="center" wrapText="1"/>
    </xf>
    <xf numFmtId="0" fontId="111" fillId="3" borderId="96" xfId="0" applyFont="1" applyFill="1" applyBorder="1" applyAlignment="1">
      <alignment horizontal="center" vertical="center" wrapText="1"/>
    </xf>
    <xf numFmtId="0" fontId="9" fillId="0" borderId="0" xfId="0" applyFont="1" applyAlignment="1">
      <alignment horizontal="center" wrapText="1"/>
    </xf>
    <xf numFmtId="0" fontId="23" fillId="4" borderId="1" xfId="0" applyFont="1" applyFill="1" applyBorder="1" applyAlignment="1">
      <alignment horizontal="center" vertical="center" wrapText="1"/>
    </xf>
    <xf numFmtId="0" fontId="23" fillId="4" borderId="9" xfId="0" applyFont="1" applyFill="1" applyBorder="1" applyAlignment="1">
      <alignment horizontal="center" vertical="center" wrapText="1"/>
    </xf>
    <xf numFmtId="0" fontId="23" fillId="0" borderId="1" xfId="0" applyFont="1" applyBorder="1" applyAlignment="1">
      <alignment horizontal="right" vertical="center"/>
    </xf>
    <xf numFmtId="180" fontId="1" fillId="10" borderId="9" xfId="0" applyNumberFormat="1" applyFont="1" applyFill="1" applyBorder="1" applyAlignment="1">
      <alignment horizontal="center" vertical="center"/>
    </xf>
    <xf numFmtId="0" fontId="37" fillId="5" borderId="1" xfId="0" applyFont="1" applyFill="1" applyBorder="1" applyAlignment="1">
      <alignment horizontal="right" vertical="center" wrapText="1"/>
    </xf>
    <xf numFmtId="167" fontId="38" fillId="5" borderId="1" xfId="0" applyNumberFormat="1" applyFont="1" applyFill="1" applyBorder="1" applyAlignment="1">
      <alignment horizontal="center" vertical="center"/>
    </xf>
    <xf numFmtId="167" fontId="23" fillId="5" borderId="1" xfId="0" applyNumberFormat="1" applyFont="1" applyFill="1" applyBorder="1" applyAlignment="1">
      <alignment horizontal="center" vertical="center"/>
    </xf>
    <xf numFmtId="167" fontId="23" fillId="5" borderId="68" xfId="0" applyNumberFormat="1" applyFont="1" applyFill="1" applyBorder="1" applyAlignment="1">
      <alignment horizontal="center" vertical="center"/>
    </xf>
    <xf numFmtId="167" fontId="38" fillId="5" borderId="35" xfId="0" applyNumberFormat="1" applyFont="1" applyFill="1" applyBorder="1" applyAlignment="1">
      <alignment horizontal="center" vertical="center"/>
    </xf>
    <xf numFmtId="167" fontId="37" fillId="5" borderId="35" xfId="0" applyNumberFormat="1" applyFont="1" applyFill="1" applyBorder="1" applyAlignment="1">
      <alignment horizontal="center" vertical="center"/>
    </xf>
    <xf numFmtId="167" fontId="37" fillId="5" borderId="64" xfId="0" applyNumberFormat="1" applyFont="1" applyFill="1" applyBorder="1" applyAlignment="1">
      <alignment horizontal="center" vertical="center"/>
    </xf>
    <xf numFmtId="0" fontId="9" fillId="0" borderId="0" xfId="0" applyFont="1" applyAlignment="1">
      <alignment vertical="center" wrapText="1"/>
    </xf>
    <xf numFmtId="0" fontId="43" fillId="0" borderId="15" xfId="0" applyFont="1" applyBorder="1" applyAlignment="1">
      <alignment vertical="center" wrapText="1"/>
    </xf>
    <xf numFmtId="0" fontId="9" fillId="0" borderId="21" xfId="0" applyFont="1" applyBorder="1" applyAlignment="1">
      <alignment vertical="center" wrapText="1"/>
    </xf>
    <xf numFmtId="0" fontId="9" fillId="0" borderId="15" xfId="0" applyFont="1" applyBorder="1" applyAlignment="1">
      <alignment vertical="center"/>
    </xf>
    <xf numFmtId="16" fontId="0" fillId="0" borderId="0" xfId="0" applyNumberFormat="1"/>
    <xf numFmtId="0" fontId="1" fillId="0" borderId="15" xfId="0" applyFont="1" applyBorder="1" applyAlignment="1">
      <alignment horizontal="left"/>
    </xf>
    <xf numFmtId="0" fontId="110" fillId="0" borderId="15" xfId="0" applyFont="1" applyBorder="1" applyAlignment="1">
      <alignment horizontal="left"/>
    </xf>
    <xf numFmtId="0" fontId="111" fillId="3" borderId="56" xfId="0" applyFont="1" applyFill="1" applyBorder="1" applyAlignment="1">
      <alignment horizontal="center" wrapText="1"/>
    </xf>
    <xf numFmtId="0" fontId="111" fillId="3" borderId="3" xfId="0" applyFont="1" applyFill="1" applyBorder="1" applyAlignment="1">
      <alignment horizontal="center" vertical="center"/>
    </xf>
    <xf numFmtId="16" fontId="111" fillId="3" borderId="1" xfId="0" quotePrefix="1" applyNumberFormat="1" applyFont="1" applyFill="1" applyBorder="1" applyAlignment="1">
      <alignment horizontal="center" vertical="center"/>
    </xf>
    <xf numFmtId="0" fontId="111" fillId="3" borderId="98" xfId="0" applyFont="1" applyFill="1" applyBorder="1" applyAlignment="1">
      <alignment horizontal="right" wrapText="1"/>
    </xf>
    <xf numFmtId="0" fontId="95" fillId="0" borderId="23" xfId="0" applyFont="1" applyBorder="1"/>
    <xf numFmtId="0" fontId="0" fillId="0" borderId="0" xfId="0" applyAlignment="1">
      <alignment vertical="center"/>
    </xf>
    <xf numFmtId="0" fontId="80" fillId="0" borderId="15" xfId="0" applyFont="1" applyBorder="1" applyAlignment="1">
      <alignment horizontal="left" vertical="top"/>
    </xf>
    <xf numFmtId="0" fontId="1" fillId="0" borderId="21" xfId="0" applyFont="1" applyBorder="1" applyAlignment="1">
      <alignment horizontal="left" vertical="top" indent="2"/>
    </xf>
    <xf numFmtId="0" fontId="84" fillId="0" borderId="15" xfId="0" applyFont="1" applyBorder="1" applyAlignment="1">
      <alignment vertical="top"/>
    </xf>
    <xf numFmtId="0" fontId="1" fillId="0" borderId="15" xfId="0" applyFont="1" applyBorder="1"/>
    <xf numFmtId="0" fontId="1" fillId="0" borderId="0" xfId="0" applyFont="1" applyAlignment="1">
      <alignment horizontal="right"/>
    </xf>
    <xf numFmtId="0" fontId="84" fillId="0" borderId="15" xfId="0" applyFont="1" applyBorder="1" applyAlignment="1">
      <alignment horizontal="left" vertical="top"/>
    </xf>
    <xf numFmtId="0" fontId="1" fillId="0" borderId="15" xfId="0" applyFont="1" applyBorder="1" applyAlignment="1">
      <alignment horizontal="left" vertical="center"/>
    </xf>
    <xf numFmtId="0" fontId="4" fillId="2" borderId="74" xfId="5" applyNumberFormat="1" applyFont="1" applyFill="1" applyBorder="1" applyAlignment="1" applyProtection="1">
      <alignment horizontal="center" vertical="center"/>
    </xf>
    <xf numFmtId="10" fontId="87" fillId="0" borderId="97" xfId="2" applyNumberFormat="1" applyFont="1" applyFill="1" applyBorder="1" applyAlignment="1" applyProtection="1">
      <alignment horizontal="center" vertical="center"/>
    </xf>
    <xf numFmtId="10" fontId="87" fillId="0" borderId="35" xfId="2" applyNumberFormat="1" applyFont="1" applyFill="1" applyBorder="1" applyAlignment="1" applyProtection="1">
      <alignment horizontal="center" vertical="center"/>
    </xf>
    <xf numFmtId="165" fontId="4" fillId="32" borderId="0" xfId="5" applyFont="1" applyFill="1" applyProtection="1"/>
    <xf numFmtId="0" fontId="29" fillId="0" borderId="0" xfId="0" applyFont="1"/>
    <xf numFmtId="0" fontId="102" fillId="3" borderId="43" xfId="0" applyFont="1" applyFill="1" applyBorder="1" applyAlignment="1">
      <alignment horizontal="center"/>
    </xf>
    <xf numFmtId="0" fontId="124" fillId="34" borderId="111" xfId="0" applyFont="1" applyFill="1" applyBorder="1" applyAlignment="1">
      <alignment horizontal="center" vertical="center" wrapText="1"/>
    </xf>
    <xf numFmtId="0" fontId="124" fillId="34" borderId="38" xfId="0" applyFont="1" applyFill="1" applyBorder="1" applyAlignment="1">
      <alignment horizontal="center" vertical="center" wrapText="1"/>
    </xf>
    <xf numFmtId="0" fontId="124" fillId="34" borderId="112" xfId="0" applyFont="1" applyFill="1" applyBorder="1" applyAlignment="1">
      <alignment horizontal="center" vertical="center" wrapText="1"/>
    </xf>
    <xf numFmtId="0" fontId="126" fillId="0" borderId="111" xfId="0" applyFont="1" applyBorder="1" applyAlignment="1">
      <alignment vertical="center" wrapText="1"/>
    </xf>
    <xf numFmtId="0" fontId="127" fillId="0" borderId="38" xfId="0" applyFont="1" applyBorder="1" applyAlignment="1">
      <alignment vertical="center" wrapText="1"/>
    </xf>
    <xf numFmtId="1" fontId="127" fillId="0" borderId="112" xfId="0" applyNumberFormat="1" applyFont="1" applyBorder="1" applyAlignment="1" applyProtection="1">
      <alignment horizontal="center" vertical="center" wrapText="1"/>
      <protection locked="0"/>
    </xf>
    <xf numFmtId="0" fontId="126" fillId="0" borderId="113" xfId="0" applyFont="1" applyBorder="1" applyAlignment="1">
      <alignment vertical="center" wrapText="1"/>
    </xf>
    <xf numFmtId="0" fontId="127" fillId="0" borderId="114" xfId="0" applyFont="1" applyBorder="1" applyAlignment="1">
      <alignment vertical="center" wrapText="1"/>
    </xf>
    <xf numFmtId="1" fontId="127" fillId="0" borderId="115" xfId="0" applyNumberFormat="1" applyFont="1" applyBorder="1" applyAlignment="1" applyProtection="1">
      <alignment horizontal="center" vertical="center" wrapText="1"/>
      <protection locked="0"/>
    </xf>
    <xf numFmtId="0" fontId="121" fillId="0" borderId="0" xfId="0" applyFont="1" applyAlignment="1">
      <alignment horizontal="left" vertical="center" wrapText="1"/>
    </xf>
    <xf numFmtId="0" fontId="9" fillId="0" borderId="0" xfId="0" applyFont="1" applyAlignment="1">
      <alignment vertical="top"/>
    </xf>
    <xf numFmtId="0" fontId="23" fillId="0" borderId="0" xfId="0" applyFont="1" applyAlignment="1">
      <alignment vertical="top"/>
    </xf>
    <xf numFmtId="0" fontId="23" fillId="0" borderId="0" xfId="0" applyFont="1" applyAlignment="1">
      <alignment horizontal="left" vertical="top"/>
    </xf>
    <xf numFmtId="0" fontId="31" fillId="14" borderId="25" xfId="0" applyFont="1" applyFill="1" applyBorder="1" applyAlignment="1">
      <alignment horizontal="right"/>
    </xf>
    <xf numFmtId="167" fontId="31" fillId="10" borderId="27" xfId="0" applyNumberFormat="1" applyFont="1" applyFill="1" applyBorder="1"/>
    <xf numFmtId="0" fontId="27" fillId="14" borderId="46" xfId="0" applyFont="1" applyFill="1" applyBorder="1" applyAlignment="1">
      <alignment horizontal="right"/>
    </xf>
    <xf numFmtId="0" fontId="27" fillId="10" borderId="25" xfId="0" applyFont="1" applyFill="1" applyBorder="1" applyAlignment="1">
      <alignment horizontal="left"/>
    </xf>
    <xf numFmtId="0" fontId="27" fillId="14" borderId="96" xfId="0" applyFont="1" applyFill="1" applyBorder="1" applyAlignment="1">
      <alignment horizontal="right"/>
    </xf>
    <xf numFmtId="167" fontId="27" fillId="10" borderId="69" xfId="0" applyNumberFormat="1" applyFont="1" applyFill="1" applyBorder="1"/>
    <xf numFmtId="167" fontId="27" fillId="2" borderId="18" xfId="0" applyNumberFormat="1" applyFont="1" applyFill="1" applyBorder="1" applyProtection="1">
      <protection locked="0"/>
    </xf>
    <xf numFmtId="167" fontId="27" fillId="10" borderId="24" xfId="0" applyNumberFormat="1" applyFont="1" applyFill="1" applyBorder="1"/>
    <xf numFmtId="0" fontId="27" fillId="14" borderId="62" xfId="0" applyFont="1" applyFill="1" applyBorder="1" applyAlignment="1">
      <alignment horizontal="right"/>
    </xf>
    <xf numFmtId="0" fontId="23" fillId="10" borderId="43" xfId="0" applyFont="1" applyFill="1" applyBorder="1"/>
    <xf numFmtId="0" fontId="31" fillId="10" borderId="43" xfId="0" applyFont="1" applyFill="1" applyBorder="1" applyAlignment="1">
      <alignment horizontal="left"/>
    </xf>
    <xf numFmtId="0" fontId="31" fillId="10" borderId="38" xfId="0" applyFont="1" applyFill="1" applyBorder="1" applyAlignment="1">
      <alignment horizontal="left"/>
    </xf>
    <xf numFmtId="0" fontId="1" fillId="0" borderId="15" xfId="0" applyFont="1" applyBorder="1" applyAlignment="1">
      <alignment horizontal="right" vertical="top"/>
    </xf>
    <xf numFmtId="0" fontId="1" fillId="0" borderId="0" xfId="0" applyFont="1" applyAlignment="1">
      <alignment horizontal="right" vertical="top" wrapText="1"/>
    </xf>
    <xf numFmtId="0" fontId="43" fillId="0" borderId="0" xfId="0" applyFont="1" applyAlignment="1">
      <alignment vertical="center" wrapText="1"/>
    </xf>
    <xf numFmtId="0" fontId="9" fillId="0" borderId="0" xfId="0" applyFont="1" applyAlignment="1">
      <alignment vertical="center"/>
    </xf>
    <xf numFmtId="0" fontId="23" fillId="0" borderId="0" xfId="0" applyFont="1" applyAlignment="1">
      <alignment horizontal="right" vertical="center"/>
    </xf>
    <xf numFmtId="0" fontId="1" fillId="10" borderId="0" xfId="0" applyFont="1" applyFill="1" applyAlignment="1">
      <alignment horizontal="left" vertical="top" wrapText="1"/>
    </xf>
    <xf numFmtId="0" fontId="110" fillId="0" borderId="0" xfId="0" applyFont="1" applyAlignment="1">
      <alignment horizontal="left"/>
    </xf>
    <xf numFmtId="0" fontId="109" fillId="0" borderId="0" xfId="0" applyFont="1"/>
    <xf numFmtId="169" fontId="27" fillId="2" borderId="1" xfId="5" applyNumberFormat="1" applyFont="1" applyFill="1" applyBorder="1" applyAlignment="1" applyProtection="1">
      <alignment vertical="center"/>
      <protection locked="0"/>
    </xf>
    <xf numFmtId="14" fontId="1" fillId="10" borderId="74" xfId="5" applyNumberFormat="1" applyFont="1" applyFill="1" applyBorder="1" applyAlignment="1" applyProtection="1">
      <alignment horizontal="center" vertical="center" wrapText="1"/>
    </xf>
    <xf numFmtId="169" fontId="27" fillId="2" borderId="68" xfId="5" applyNumberFormat="1" applyFont="1" applyFill="1" applyBorder="1" applyAlignment="1" applyProtection="1">
      <alignment vertical="center"/>
      <protection locked="0"/>
    </xf>
    <xf numFmtId="181" fontId="27" fillId="2" borderId="1" xfId="11" applyNumberFormat="1" applyFont="1" applyFill="1" applyBorder="1" applyAlignment="1" applyProtection="1">
      <alignment vertical="center"/>
      <protection locked="0"/>
    </xf>
    <xf numFmtId="14" fontId="87" fillId="2" borderId="74" xfId="5" applyNumberFormat="1" applyFont="1" applyFill="1" applyBorder="1" applyAlignment="1" applyProtection="1">
      <alignment horizontal="center" vertical="center" wrapText="1"/>
    </xf>
    <xf numFmtId="14" fontId="2" fillId="10" borderId="74" xfId="5" applyNumberFormat="1" applyFont="1" applyFill="1" applyBorder="1" applyAlignment="1" applyProtection="1">
      <alignment horizontal="center" vertical="center" wrapText="1"/>
    </xf>
    <xf numFmtId="165" fontId="0" fillId="2" borderId="1" xfId="0" applyNumberFormat="1" applyFill="1" applyBorder="1" applyAlignment="1" applyProtection="1">
      <alignment horizontal="center" vertical="center" wrapText="1"/>
      <protection locked="0"/>
    </xf>
    <xf numFmtId="169" fontId="28" fillId="2" borderId="1" xfId="5" applyNumberFormat="1" applyFont="1" applyFill="1" applyBorder="1" applyAlignment="1" applyProtection="1">
      <alignment vertical="center"/>
      <protection locked="0"/>
    </xf>
    <xf numFmtId="169" fontId="28" fillId="2" borderId="68" xfId="5" applyNumberFormat="1" applyFont="1" applyFill="1" applyBorder="1" applyAlignment="1" applyProtection="1">
      <alignment vertical="center"/>
      <protection locked="0"/>
    </xf>
    <xf numFmtId="169" fontId="27" fillId="2" borderId="1" xfId="5" applyNumberFormat="1" applyFont="1" applyFill="1" applyBorder="1" applyAlignment="1" applyProtection="1">
      <alignment horizontal="center" vertical="center"/>
      <protection locked="0"/>
    </xf>
    <xf numFmtId="169" fontId="28" fillId="2" borderId="1" xfId="5" applyNumberFormat="1" applyFont="1" applyFill="1" applyBorder="1" applyAlignment="1" applyProtection="1">
      <alignment horizontal="center" vertical="center"/>
      <protection locked="0"/>
    </xf>
    <xf numFmtId="0" fontId="0" fillId="11" borderId="0" xfId="0" applyFill="1" applyAlignment="1">
      <alignment horizontal="center" vertical="center"/>
    </xf>
    <xf numFmtId="0" fontId="23" fillId="10" borderId="15" xfId="0" applyFont="1" applyFill="1" applyBorder="1" applyAlignment="1">
      <alignment horizontal="left" wrapText="1"/>
    </xf>
    <xf numFmtId="0" fontId="23" fillId="10" borderId="0" xfId="0" applyFont="1" applyFill="1" applyAlignment="1">
      <alignment horizontal="left" wrapText="1"/>
    </xf>
    <xf numFmtId="0" fontId="16" fillId="0" borderId="0" xfId="0" applyFont="1" applyAlignment="1">
      <alignment wrapText="1"/>
    </xf>
    <xf numFmtId="0" fontId="16" fillId="0" borderId="0" xfId="0" applyFont="1" applyAlignment="1">
      <alignment horizontal="left" wrapText="1"/>
    </xf>
    <xf numFmtId="0" fontId="17" fillId="0" borderId="0" xfId="0" applyFont="1" applyAlignment="1">
      <alignment wrapText="1"/>
    </xf>
    <xf numFmtId="0" fontId="31" fillId="0" borderId="0" xfId="0" applyFont="1" applyAlignment="1">
      <alignment vertical="center"/>
    </xf>
    <xf numFmtId="0" fontId="36" fillId="0" borderId="0" xfId="0" applyFont="1" applyAlignment="1">
      <alignment horizontal="left" vertical="center"/>
    </xf>
    <xf numFmtId="0" fontId="36" fillId="0" borderId="0" xfId="0" applyFont="1" applyAlignment="1">
      <alignment horizontal="center" vertical="center" wrapText="1"/>
    </xf>
    <xf numFmtId="0" fontId="23" fillId="4" borderId="68" xfId="0" applyFont="1" applyFill="1" applyBorder="1" applyAlignment="1">
      <alignment horizontal="center" vertical="center" wrapText="1"/>
    </xf>
    <xf numFmtId="167" fontId="38" fillId="5" borderId="68" xfId="0" applyNumberFormat="1" applyFont="1" applyFill="1" applyBorder="1" applyAlignment="1">
      <alignment horizontal="center" vertical="center"/>
    </xf>
    <xf numFmtId="0" fontId="2" fillId="2" borderId="74" xfId="5" applyNumberFormat="1" applyFont="1" applyFill="1" applyBorder="1" applyAlignment="1" applyProtection="1">
      <alignment horizontal="center" vertical="center" wrapText="1"/>
      <protection locked="0"/>
    </xf>
    <xf numFmtId="0" fontId="2" fillId="2" borderId="116" xfId="5" applyNumberFormat="1" applyFont="1" applyFill="1" applyBorder="1" applyAlignment="1" applyProtection="1">
      <alignment horizontal="center" vertical="center" wrapText="1"/>
      <protection locked="0"/>
    </xf>
    <xf numFmtId="0" fontId="30" fillId="16" borderId="7" xfId="0" applyFont="1" applyFill="1" applyBorder="1" applyAlignment="1">
      <alignment horizontal="center" vertical="center" wrapText="1"/>
    </xf>
    <xf numFmtId="0" fontId="30" fillId="16" borderId="7" xfId="0" applyFont="1" applyFill="1" applyBorder="1" applyAlignment="1">
      <alignment horizontal="center" vertical="center"/>
    </xf>
    <xf numFmtId="0" fontId="37" fillId="0" borderId="1" xfId="0" applyFont="1" applyBorder="1" applyAlignment="1">
      <alignment horizontal="left" vertical="center" wrapText="1"/>
    </xf>
    <xf numFmtId="165" fontId="0" fillId="10" borderId="1" xfId="0" applyNumberFormat="1" applyFill="1" applyBorder="1" applyAlignment="1">
      <alignment vertical="center" wrapText="1"/>
    </xf>
    <xf numFmtId="165" fontId="0" fillId="14" borderId="1" xfId="0" applyNumberFormat="1" applyFill="1" applyBorder="1" applyAlignment="1">
      <alignment vertical="center" wrapText="1"/>
    </xf>
    <xf numFmtId="165" fontId="0" fillId="0" borderId="1" xfId="0" applyNumberFormat="1" applyBorder="1" applyAlignment="1">
      <alignment vertical="center" wrapText="1"/>
    </xf>
    <xf numFmtId="165" fontId="16" fillId="0" borderId="1" xfId="0" applyNumberFormat="1" applyFont="1" applyBorder="1" applyAlignment="1">
      <alignment horizontal="center" vertical="center" wrapText="1"/>
    </xf>
    <xf numFmtId="165" fontId="0" fillId="14" borderId="1" xfId="0" applyNumberFormat="1" applyFill="1" applyBorder="1" applyAlignment="1">
      <alignment horizontal="center" vertical="center" wrapText="1"/>
    </xf>
    <xf numFmtId="165" fontId="16" fillId="10" borderId="1" xfId="0" applyNumberFormat="1" applyFont="1" applyFill="1" applyBorder="1" applyAlignment="1">
      <alignment vertical="center" wrapText="1"/>
    </xf>
    <xf numFmtId="165" fontId="16" fillId="10" borderId="1" xfId="0" applyNumberFormat="1" applyFont="1" applyFill="1" applyBorder="1" applyAlignment="1">
      <alignment horizontal="center" vertical="center" wrapText="1"/>
    </xf>
    <xf numFmtId="165" fontId="3" fillId="2" borderId="1" xfId="5" applyFont="1" applyFill="1" applyBorder="1" applyAlignment="1" applyProtection="1">
      <alignment horizontal="center" vertical="center" wrapText="1"/>
      <protection locked="0"/>
    </xf>
    <xf numFmtId="165" fontId="16" fillId="2" borderId="1" xfId="5" applyFont="1" applyFill="1" applyBorder="1" applyAlignment="1" applyProtection="1">
      <alignment horizontal="center" vertical="center" wrapText="1"/>
      <protection locked="0"/>
    </xf>
    <xf numFmtId="0" fontId="23" fillId="10" borderId="16" xfId="0" applyFont="1" applyFill="1" applyBorder="1" applyAlignment="1">
      <alignment wrapText="1"/>
    </xf>
    <xf numFmtId="0" fontId="23" fillId="10" borderId="17" xfId="0" applyFont="1" applyFill="1" applyBorder="1" applyAlignment="1">
      <alignment wrapText="1"/>
    </xf>
    <xf numFmtId="0" fontId="23" fillId="10" borderId="18" xfId="0" applyFont="1" applyFill="1" applyBorder="1" applyAlignment="1">
      <alignment wrapText="1"/>
    </xf>
    <xf numFmtId="0" fontId="23" fillId="10" borderId="0" xfId="0" applyFont="1" applyFill="1" applyAlignment="1">
      <alignment wrapText="1"/>
    </xf>
    <xf numFmtId="0" fontId="128" fillId="0" borderId="113" xfId="0" applyFont="1" applyBorder="1" applyAlignment="1">
      <alignment vertical="center" wrapText="1"/>
    </xf>
    <xf numFmtId="165" fontId="127" fillId="0" borderId="115" xfId="5" applyFont="1" applyBorder="1" applyAlignment="1" applyProtection="1">
      <alignment horizontal="center" vertical="center" wrapText="1"/>
      <protection locked="0"/>
    </xf>
    <xf numFmtId="0" fontId="129" fillId="0" borderId="114" xfId="0" applyFont="1" applyBorder="1" applyAlignment="1">
      <alignment vertical="center" wrapText="1"/>
    </xf>
    <xf numFmtId="0" fontId="0" fillId="12" borderId="38" xfId="0" applyFill="1" applyBorder="1" applyAlignment="1">
      <alignment horizontal="center" vertical="center"/>
    </xf>
    <xf numFmtId="0" fontId="0" fillId="12" borderId="18" xfId="0" applyFill="1" applyBorder="1" applyAlignment="1">
      <alignment horizontal="center" vertical="center"/>
    </xf>
    <xf numFmtId="0" fontId="126" fillId="0" borderId="34" xfId="0" applyFont="1" applyBorder="1" applyAlignment="1">
      <alignment vertical="center" wrapText="1"/>
    </xf>
    <xf numFmtId="0" fontId="2" fillId="0" borderId="0" xfId="0" applyFont="1" applyAlignment="1">
      <alignment wrapText="1"/>
    </xf>
    <xf numFmtId="1" fontId="27" fillId="2" borderId="1" xfId="5" applyNumberFormat="1" applyFont="1" applyFill="1" applyBorder="1" applyAlignment="1" applyProtection="1">
      <alignment horizontal="left" vertical="center"/>
      <protection locked="0"/>
    </xf>
    <xf numFmtId="177" fontId="27" fillId="2" borderId="1" xfId="5" applyNumberFormat="1" applyFont="1" applyFill="1" applyBorder="1" applyAlignment="1" applyProtection="1">
      <alignment horizontal="left" vertical="center"/>
      <protection locked="0"/>
    </xf>
    <xf numFmtId="0" fontId="1" fillId="0" borderId="0" xfId="0" applyFont="1" applyAlignment="1">
      <alignment horizontal="center" vertical="center"/>
    </xf>
    <xf numFmtId="0" fontId="76" fillId="20" borderId="0" xfId="0" applyFont="1" applyFill="1" applyAlignment="1">
      <alignment vertical="center"/>
    </xf>
    <xf numFmtId="0" fontId="77" fillId="20" borderId="0" xfId="0" applyFont="1" applyFill="1" applyAlignment="1">
      <alignment vertical="center"/>
    </xf>
    <xf numFmtId="0" fontId="1" fillId="20" borderId="0" xfId="0" applyFont="1" applyFill="1" applyAlignment="1">
      <alignment wrapText="1"/>
    </xf>
    <xf numFmtId="0" fontId="1" fillId="20" borderId="0" xfId="0" applyFont="1" applyFill="1" applyAlignment="1">
      <alignment horizontal="center" vertical="center" wrapText="1"/>
    </xf>
    <xf numFmtId="0" fontId="1" fillId="20" borderId="0" xfId="0" applyFont="1" applyFill="1"/>
    <xf numFmtId="0" fontId="2" fillId="20" borderId="0" xfId="0" applyFont="1" applyFill="1" applyAlignment="1">
      <alignment horizontal="right" vertical="top"/>
    </xf>
    <xf numFmtId="0" fontId="78" fillId="0" borderId="0" xfId="0"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80" fillId="0" borderId="0" xfId="0" applyFont="1" applyAlignment="1">
      <alignment vertical="center"/>
    </xf>
    <xf numFmtId="0" fontId="4" fillId="0" borderId="0" xfId="0" applyFont="1"/>
    <xf numFmtId="0" fontId="91" fillId="0" borderId="0" xfId="0" applyFont="1" applyAlignment="1">
      <alignment vertical="top"/>
    </xf>
    <xf numFmtId="0" fontId="1" fillId="0" borderId="0" xfId="0" applyFont="1" applyAlignment="1">
      <alignment horizontal="left" vertical="top"/>
    </xf>
    <xf numFmtId="0" fontId="2" fillId="0" borderId="0" xfId="0" applyFont="1" applyAlignment="1">
      <alignment vertical="top"/>
    </xf>
    <xf numFmtId="0" fontId="4" fillId="0" borderId="0" xfId="0" applyFont="1" applyAlignment="1">
      <alignment vertical="top"/>
    </xf>
    <xf numFmtId="0" fontId="92" fillId="0" borderId="0" xfId="0" applyFont="1" applyAlignment="1">
      <alignment vertical="center"/>
    </xf>
    <xf numFmtId="0" fontId="4" fillId="0" borderId="0" xfId="0" applyFont="1" applyAlignment="1">
      <alignment vertical="top" wrapText="1"/>
    </xf>
    <xf numFmtId="0" fontId="82" fillId="21" borderId="4" xfId="0" applyFont="1" applyFill="1" applyBorder="1" applyAlignment="1">
      <alignment horizontal="center" vertical="center"/>
    </xf>
    <xf numFmtId="165" fontId="4" fillId="8" borderId="4" xfId="5" applyFont="1" applyFill="1" applyBorder="1" applyAlignment="1" applyProtection="1">
      <alignment horizontal="left" vertical="center"/>
    </xf>
    <xf numFmtId="0" fontId="82" fillId="21" borderId="78" xfId="0" applyFont="1" applyFill="1" applyBorder="1" applyAlignment="1">
      <alignment horizontal="center" vertical="center"/>
    </xf>
    <xf numFmtId="165" fontId="4" fillId="8" borderId="75" xfId="5" applyFont="1" applyFill="1" applyBorder="1" applyAlignment="1" applyProtection="1">
      <alignment horizontal="left" vertical="center"/>
    </xf>
    <xf numFmtId="0" fontId="2" fillId="0" borderId="0" xfId="0" quotePrefix="1" applyFont="1" applyAlignment="1">
      <alignment vertical="center"/>
    </xf>
    <xf numFmtId="0" fontId="85" fillId="0" borderId="0" xfId="0" applyFont="1" applyAlignment="1">
      <alignment horizontal="center" vertical="center"/>
    </xf>
    <xf numFmtId="0" fontId="2" fillId="0" borderId="0" xfId="0" applyFont="1"/>
    <xf numFmtId="0" fontId="87" fillId="0" borderId="0" xfId="0" applyFont="1"/>
    <xf numFmtId="0" fontId="92" fillId="0" borderId="0" xfId="0" applyFont="1"/>
    <xf numFmtId="0" fontId="1" fillId="0" borderId="0" xfId="0" applyFont="1" applyAlignment="1">
      <alignment horizontal="left"/>
    </xf>
    <xf numFmtId="0" fontId="87" fillId="0" borderId="0" xfId="0" applyFont="1" applyAlignment="1">
      <alignment horizontal="center"/>
    </xf>
    <xf numFmtId="0" fontId="1" fillId="0" borderId="0" xfId="0" quotePrefix="1" applyFont="1"/>
    <xf numFmtId="0" fontId="1" fillId="0" borderId="0" xfId="0" quotePrefix="1" applyFont="1" applyAlignment="1">
      <alignment horizontal="center" vertical="center"/>
    </xf>
    <xf numFmtId="0" fontId="1" fillId="0" borderId="0" xfId="0" applyFont="1" applyAlignment="1">
      <alignment vertical="top" wrapText="1"/>
    </xf>
    <xf numFmtId="0" fontId="1" fillId="0" borderId="0" xfId="0" applyFont="1" applyAlignment="1">
      <alignment horizontal="center" vertical="center" wrapText="1"/>
    </xf>
    <xf numFmtId="0" fontId="2" fillId="0" borderId="10" xfId="0" quotePrefix="1" applyFont="1" applyBorder="1" applyAlignment="1">
      <alignment wrapText="1"/>
    </xf>
    <xf numFmtId="165" fontId="94" fillId="0" borderId="0" xfId="0" quotePrefix="1" applyNumberFormat="1" applyFont="1" applyAlignment="1">
      <alignment vertical="top" wrapText="1"/>
    </xf>
    <xf numFmtId="0" fontId="2" fillId="0" borderId="10" xfId="0" quotePrefix="1" applyFont="1" applyBorder="1"/>
    <xf numFmtId="0" fontId="88" fillId="0" borderId="0" xfId="0" applyFont="1" applyAlignment="1">
      <alignment horizontal="left" vertical="top" indent="2"/>
    </xf>
    <xf numFmtId="0" fontId="97" fillId="0" borderId="0" xfId="0" applyFont="1"/>
    <xf numFmtId="0" fontId="98" fillId="0" borderId="0" xfId="0" applyFont="1"/>
    <xf numFmtId="0" fontId="98" fillId="0" borderId="0" xfId="0" applyFont="1" applyAlignment="1">
      <alignment horizontal="center" vertical="center"/>
    </xf>
    <xf numFmtId="0" fontId="1" fillId="0" borderId="0" xfId="0" applyFont="1" applyAlignment="1">
      <alignment horizontal="left" indent="1"/>
    </xf>
    <xf numFmtId="0" fontId="84" fillId="0" borderId="0" xfId="0" applyFont="1"/>
    <xf numFmtId="0" fontId="93" fillId="0" borderId="0" xfId="0" applyFont="1" applyAlignment="1">
      <alignment vertical="top"/>
    </xf>
    <xf numFmtId="0" fontId="4" fillId="0" borderId="0" xfId="0" applyFont="1" applyAlignment="1">
      <alignment horizontal="center" vertical="center"/>
    </xf>
    <xf numFmtId="0" fontId="98" fillId="0" borderId="0" xfId="0" applyFont="1" applyAlignment="1">
      <alignment horizontal="center"/>
    </xf>
    <xf numFmtId="0" fontId="98" fillId="0" borderId="0" xfId="0" applyFont="1" applyAlignment="1">
      <alignment vertical="top"/>
    </xf>
    <xf numFmtId="0" fontId="87" fillId="0" borderId="10" xfId="0" quotePrefix="1" applyFont="1" applyBorder="1"/>
    <xf numFmtId="0" fontId="78" fillId="0" borderId="10" xfId="0" applyFont="1" applyBorder="1"/>
    <xf numFmtId="0" fontId="78" fillId="0" borderId="95" xfId="0" applyFont="1" applyBorder="1" applyAlignment="1">
      <alignment horizontal="center" vertical="center"/>
    </xf>
    <xf numFmtId="0" fontId="98" fillId="0" borderId="0" xfId="0" quotePrefix="1" applyFont="1"/>
    <xf numFmtId="0" fontId="98" fillId="0" borderId="0" xfId="0" quotePrefix="1" applyFont="1" applyAlignment="1">
      <alignment horizontal="center" vertical="center"/>
    </xf>
    <xf numFmtId="0" fontId="85" fillId="0" borderId="0" xfId="0" applyFont="1" applyAlignment="1">
      <alignment vertical="top"/>
    </xf>
    <xf numFmtId="0" fontId="2" fillId="0" borderId="10" xfId="0" applyFont="1" applyBorder="1" applyAlignment="1">
      <alignment horizontal="left"/>
    </xf>
    <xf numFmtId="176" fontId="4" fillId="23" borderId="74" xfId="5" applyNumberFormat="1" applyFont="1" applyFill="1" applyBorder="1" applyAlignment="1" applyProtection="1">
      <alignment horizontal="left" vertical="center"/>
    </xf>
    <xf numFmtId="0" fontId="76" fillId="32" borderId="0" xfId="0" applyFont="1" applyFill="1" applyAlignment="1">
      <alignment vertical="center"/>
    </xf>
    <xf numFmtId="0" fontId="77" fillId="32" borderId="0" xfId="0" applyFont="1" applyFill="1" applyAlignment="1">
      <alignment vertical="center"/>
    </xf>
    <xf numFmtId="0" fontId="1" fillId="32" borderId="0" xfId="0" applyFont="1" applyFill="1" applyAlignment="1">
      <alignment wrapText="1"/>
    </xf>
    <xf numFmtId="0" fontId="1" fillId="32" borderId="0" xfId="0" applyFont="1" applyFill="1"/>
    <xf numFmtId="0" fontId="2" fillId="0" borderId="0" xfId="0" applyFont="1" applyAlignment="1">
      <alignment horizontal="right" vertical="top"/>
    </xf>
    <xf numFmtId="0" fontId="78" fillId="0" borderId="0" xfId="0" applyFont="1"/>
    <xf numFmtId="0" fontId="79" fillId="0" borderId="0" xfId="0" applyFont="1" applyAlignment="1">
      <alignment horizontal="right" vertical="center" wrapText="1"/>
    </xf>
    <xf numFmtId="0" fontId="2" fillId="0" borderId="0" xfId="0" applyFont="1" applyAlignment="1">
      <alignment vertical="center" wrapText="1"/>
    </xf>
    <xf numFmtId="49" fontId="4" fillId="13" borderId="74" xfId="5" applyNumberFormat="1" applyFont="1" applyFill="1" applyBorder="1" applyAlignment="1" applyProtection="1">
      <alignment horizontal="left" vertical="top"/>
    </xf>
    <xf numFmtId="0" fontId="116" fillId="0" borderId="0" xfId="0" applyFont="1" applyAlignment="1">
      <alignment horizontal="left" vertical="top"/>
    </xf>
    <xf numFmtId="178" fontId="4" fillId="13" borderId="74" xfId="5" applyNumberFormat="1" applyFont="1" applyFill="1" applyBorder="1" applyAlignment="1" applyProtection="1">
      <alignment horizontal="left" vertical="top"/>
    </xf>
    <xf numFmtId="14" fontId="4" fillId="13" borderId="74" xfId="5" applyNumberFormat="1" applyFont="1" applyFill="1" applyBorder="1" applyAlignment="1" applyProtection="1">
      <alignment horizontal="left" vertical="top"/>
    </xf>
    <xf numFmtId="0" fontId="4" fillId="0" borderId="0" xfId="0" applyFont="1" applyAlignment="1">
      <alignment horizontal="left" vertical="top"/>
    </xf>
    <xf numFmtId="0" fontId="80" fillId="0" borderId="0" xfId="0" applyFont="1" applyAlignment="1">
      <alignment horizontal="left" vertical="top"/>
    </xf>
    <xf numFmtId="3" fontId="4" fillId="13" borderId="75" xfId="11" applyNumberFormat="1" applyFont="1" applyFill="1" applyBorder="1" applyAlignment="1" applyProtection="1">
      <alignment horizontal="center"/>
    </xf>
    <xf numFmtId="0" fontId="79" fillId="0" borderId="0" xfId="0" applyFont="1" applyAlignment="1">
      <alignment horizontal="left" vertical="top"/>
    </xf>
    <xf numFmtId="0" fontId="4" fillId="13" borderId="74" xfId="5" applyNumberFormat="1" applyFont="1" applyFill="1" applyBorder="1" applyAlignment="1" applyProtection="1">
      <alignment horizontal="center" vertical="center"/>
    </xf>
    <xf numFmtId="49" fontId="4" fillId="13" borderId="74" xfId="5" applyNumberFormat="1" applyFont="1" applyFill="1" applyBorder="1" applyAlignment="1" applyProtection="1">
      <alignment horizontal="left" vertical="center"/>
    </xf>
    <xf numFmtId="0" fontId="80" fillId="0" borderId="0" xfId="0" applyFont="1" applyAlignment="1">
      <alignment horizontal="left"/>
    </xf>
    <xf numFmtId="0" fontId="80" fillId="0" borderId="0" xfId="0" applyFont="1"/>
    <xf numFmtId="165" fontId="4" fillId="13" borderId="74" xfId="5" applyFont="1" applyFill="1" applyBorder="1" applyAlignment="1" applyProtection="1">
      <alignment vertical="center"/>
    </xf>
    <xf numFmtId="0" fontId="1" fillId="0" borderId="0" xfId="0" applyFont="1" applyAlignment="1">
      <alignment horizontal="center"/>
    </xf>
    <xf numFmtId="0" fontId="86" fillId="0" borderId="0" xfId="0" applyFont="1" applyAlignment="1">
      <alignment horizontal="center"/>
    </xf>
    <xf numFmtId="0" fontId="87" fillId="0" borderId="0" xfId="0" applyFont="1" applyAlignment="1">
      <alignment wrapText="1"/>
    </xf>
    <xf numFmtId="0" fontId="85" fillId="0" borderId="0" xfId="0" applyFont="1" applyAlignment="1">
      <alignment horizontal="center"/>
    </xf>
    <xf numFmtId="0" fontId="1" fillId="0" borderId="0" xfId="0" applyFont="1" applyAlignment="1">
      <alignment horizontal="left" wrapText="1"/>
    </xf>
    <xf numFmtId="0" fontId="82" fillId="21" borderId="74" xfId="0" applyFont="1" applyFill="1" applyBorder="1" applyAlignment="1">
      <alignment horizontal="center"/>
    </xf>
    <xf numFmtId="165" fontId="4" fillId="13" borderId="74" xfId="5" applyFont="1" applyFill="1" applyBorder="1" applyAlignment="1" applyProtection="1">
      <alignment horizontal="center" vertical="center"/>
    </xf>
    <xf numFmtId="164" fontId="4" fillId="13" borderId="76" xfId="5" applyNumberFormat="1" applyFont="1" applyFill="1" applyBorder="1" applyAlignment="1" applyProtection="1">
      <alignment vertical="center"/>
    </xf>
    <xf numFmtId="0" fontId="1" fillId="0" borderId="0" xfId="0" applyFont="1" applyAlignment="1">
      <alignment horizontal="left" indent="2"/>
    </xf>
    <xf numFmtId="9" fontId="1" fillId="0" borderId="0" xfId="0" applyNumberFormat="1" applyFont="1" applyAlignment="1">
      <alignment wrapText="1"/>
    </xf>
    <xf numFmtId="10" fontId="1" fillId="0" borderId="0" xfId="0" applyNumberFormat="1" applyFont="1" applyAlignment="1">
      <alignment wrapText="1"/>
    </xf>
    <xf numFmtId="0" fontId="1" fillId="0" borderId="0" xfId="0" applyFont="1" applyAlignment="1">
      <alignment horizontal="left" vertical="center" wrapText="1"/>
    </xf>
    <xf numFmtId="0" fontId="82" fillId="21" borderId="74" xfId="0" applyFont="1" applyFill="1" applyBorder="1" applyAlignment="1">
      <alignment horizontal="center" vertical="center"/>
    </xf>
    <xf numFmtId="0" fontId="1" fillId="11" borderId="0" xfId="0" applyFont="1" applyFill="1" applyAlignment="1">
      <alignment horizontal="left" vertical="center" wrapText="1"/>
    </xf>
    <xf numFmtId="9" fontId="1" fillId="0" borderId="0" xfId="0" applyNumberFormat="1" applyFont="1" applyAlignment="1">
      <alignment horizontal="left" indent="2"/>
    </xf>
    <xf numFmtId="0" fontId="2" fillId="0" borderId="0" xfId="0" quotePrefix="1" applyFont="1" applyAlignment="1">
      <alignment wrapText="1"/>
    </xf>
    <xf numFmtId="165" fontId="4" fillId="11" borderId="74" xfId="5" applyFont="1" applyFill="1" applyBorder="1" applyAlignment="1" applyProtection="1">
      <alignment vertical="center"/>
    </xf>
    <xf numFmtId="0" fontId="1" fillId="0" borderId="0" xfId="0" quotePrefix="1" applyFont="1" applyAlignment="1">
      <alignment wrapText="1"/>
    </xf>
    <xf numFmtId="0" fontId="82" fillId="21" borderId="76" xfId="0" applyFont="1" applyFill="1" applyBorder="1" applyAlignment="1">
      <alignment horizontal="center" wrapText="1"/>
    </xf>
    <xf numFmtId="165" fontId="4" fillId="13" borderId="77" xfId="5" applyFont="1" applyFill="1" applyBorder="1" applyAlignment="1" applyProtection="1">
      <alignment vertical="center"/>
    </xf>
    <xf numFmtId="49" fontId="4" fillId="13" borderId="74" xfId="5" applyNumberFormat="1" applyFont="1" applyFill="1" applyBorder="1" applyAlignment="1" applyProtection="1">
      <alignment horizontal="left" vertical="center" wrapText="1"/>
    </xf>
    <xf numFmtId="0" fontId="82" fillId="21" borderId="74" xfId="0" applyFont="1" applyFill="1" applyBorder="1" applyAlignment="1">
      <alignment horizontal="center" vertical="center" wrapText="1"/>
    </xf>
    <xf numFmtId="177" fontId="4" fillId="13" borderId="74" xfId="5" applyNumberFormat="1" applyFont="1" applyFill="1" applyBorder="1" applyAlignment="1" applyProtection="1">
      <alignment vertical="center"/>
    </xf>
    <xf numFmtId="49" fontId="8" fillId="13" borderId="74" xfId="3" applyNumberFormat="1" applyFill="1" applyBorder="1" applyAlignment="1" applyProtection="1">
      <alignment vertical="center"/>
    </xf>
    <xf numFmtId="0" fontId="82" fillId="0" borderId="0" xfId="0" applyFont="1" applyAlignment="1">
      <alignment horizontal="center"/>
    </xf>
    <xf numFmtId="0" fontId="4" fillId="13" borderId="0" xfId="0" applyFont="1" applyFill="1" applyAlignment="1">
      <alignment vertical="center"/>
    </xf>
    <xf numFmtId="0" fontId="4" fillId="0" borderId="0" xfId="0" applyFont="1" applyAlignment="1">
      <alignment vertical="center" wrapText="1"/>
    </xf>
    <xf numFmtId="0" fontId="4" fillId="13" borderId="0" xfId="0" applyFont="1" applyFill="1" applyAlignment="1">
      <alignment horizontal="left" vertical="center" wrapText="1" indent="2"/>
    </xf>
    <xf numFmtId="0" fontId="72" fillId="0" borderId="0" xfId="0" applyFont="1" applyAlignment="1">
      <alignment horizontal="left" vertical="center" wrapText="1"/>
    </xf>
    <xf numFmtId="49" fontId="72" fillId="13" borderId="74" xfId="5" applyNumberFormat="1" applyFont="1" applyFill="1" applyBorder="1" applyAlignment="1" applyProtection="1">
      <alignment vertical="top" wrapText="1"/>
    </xf>
    <xf numFmtId="0" fontId="82" fillId="29" borderId="74" xfId="0" applyFont="1" applyFill="1" applyBorder="1" applyAlignment="1">
      <alignment horizontal="center" vertical="center" wrapText="1"/>
    </xf>
    <xf numFmtId="176" fontId="4" fillId="13" borderId="74" xfId="5" applyNumberFormat="1" applyFont="1" applyFill="1" applyBorder="1" applyAlignment="1" applyProtection="1">
      <alignment horizontal="left" vertical="center"/>
    </xf>
    <xf numFmtId="0" fontId="0" fillId="10" borderId="0" xfId="0" applyFill="1" applyAlignment="1">
      <alignment horizontal="center"/>
    </xf>
    <xf numFmtId="9" fontId="0" fillId="10" borderId="0" xfId="0" applyNumberFormat="1" applyFill="1" applyAlignment="1">
      <alignment horizontal="center"/>
    </xf>
    <xf numFmtId="0" fontId="45" fillId="0" borderId="25" xfId="0" applyFont="1" applyBorder="1" applyAlignment="1">
      <alignment horizontal="left"/>
    </xf>
    <xf numFmtId="0" fontId="45" fillId="0" borderId="26" xfId="0" applyFont="1" applyBorder="1" applyAlignment="1">
      <alignment horizontal="left"/>
    </xf>
    <xf numFmtId="0" fontId="0" fillId="0" borderId="26" xfId="0" applyBorder="1" applyAlignment="1">
      <alignment horizontal="center"/>
    </xf>
    <xf numFmtId="0" fontId="0" fillId="10" borderId="26" xfId="0" applyFill="1" applyBorder="1" applyAlignment="1">
      <alignment horizontal="center"/>
    </xf>
    <xf numFmtId="0" fontId="0" fillId="10" borderId="27" xfId="0" applyFill="1" applyBorder="1" applyAlignment="1">
      <alignment horizontal="center"/>
    </xf>
    <xf numFmtId="0" fontId="46" fillId="10" borderId="25" xfId="0" applyFont="1" applyFill="1" applyBorder="1" applyAlignment="1">
      <alignment horizontal="left"/>
    </xf>
    <xf numFmtId="0" fontId="48" fillId="10" borderId="26" xfId="0" applyFont="1" applyFill="1" applyBorder="1" applyAlignment="1">
      <alignment horizontal="center"/>
    </xf>
    <xf numFmtId="0" fontId="19" fillId="0" borderId="15" xfId="0" applyFont="1" applyBorder="1" applyAlignment="1">
      <alignment horizontal="left"/>
    </xf>
    <xf numFmtId="0" fontId="19" fillId="0" borderId="1" xfId="0" quotePrefix="1" applyFont="1" applyBorder="1" applyAlignment="1">
      <alignment horizontal="center"/>
    </xf>
    <xf numFmtId="173" fontId="19" fillId="0" borderId="1" xfId="0" applyNumberFormat="1" applyFont="1" applyBorder="1" applyAlignment="1">
      <alignment horizontal="center"/>
    </xf>
    <xf numFmtId="167" fontId="19" fillId="0" borderId="0" xfId="0" applyNumberFormat="1" applyFont="1" applyAlignment="1">
      <alignment horizontal="center"/>
    </xf>
    <xf numFmtId="167" fontId="19" fillId="0" borderId="1" xfId="0" applyNumberFormat="1" applyFont="1" applyBorder="1" applyAlignment="1">
      <alignment horizontal="center"/>
    </xf>
    <xf numFmtId="1" fontId="19" fillId="0" borderId="1" xfId="0" applyNumberFormat="1" applyFont="1" applyBorder="1" applyAlignment="1">
      <alignment horizontal="center"/>
    </xf>
    <xf numFmtId="174" fontId="19" fillId="0" borderId="68" xfId="0" applyNumberFormat="1" applyFont="1" applyBorder="1" applyAlignment="1">
      <alignment horizontal="center"/>
    </xf>
    <xf numFmtId="0" fontId="19" fillId="0" borderId="1" xfId="0" quotePrefix="1" applyFont="1" applyBorder="1" applyAlignment="1">
      <alignment horizontal="left" wrapText="1"/>
    </xf>
    <xf numFmtId="2" fontId="49" fillId="0" borderId="1" xfId="0" applyNumberFormat="1" applyFont="1" applyBorder="1" applyAlignment="1">
      <alignment horizontal="center"/>
    </xf>
    <xf numFmtId="167" fontId="19" fillId="0" borderId="6" xfId="0" applyNumberFormat="1" applyFont="1" applyBorder="1" applyAlignment="1">
      <alignment horizontal="center"/>
    </xf>
    <xf numFmtId="0" fontId="49" fillId="0" borderId="0" xfId="0" applyFont="1" applyAlignment="1">
      <alignment horizontal="center"/>
    </xf>
    <xf numFmtId="1" fontId="19" fillId="0" borderId="6" xfId="0" applyNumberFormat="1" applyFont="1" applyBorder="1" applyAlignment="1">
      <alignment horizontal="center"/>
    </xf>
    <xf numFmtId="0" fontId="20" fillId="0" borderId="0" xfId="0" applyFont="1"/>
    <xf numFmtId="0" fontId="46" fillId="0" borderId="15" xfId="0" applyFont="1" applyBorder="1"/>
    <xf numFmtId="0" fontId="50" fillId="0" borderId="0" xfId="0" applyFont="1" applyAlignment="1">
      <alignment horizontal="center"/>
    </xf>
    <xf numFmtId="174" fontId="0" fillId="0" borderId="21" xfId="0" applyNumberFormat="1" applyBorder="1"/>
    <xf numFmtId="0" fontId="19" fillId="0" borderId="0" xfId="0" applyFont="1" applyAlignment="1">
      <alignment horizontal="left"/>
    </xf>
    <xf numFmtId="0" fontId="19" fillId="0" borderId="0" xfId="0" applyFont="1" applyAlignment="1">
      <alignment horizontal="right"/>
    </xf>
    <xf numFmtId="167" fontId="19" fillId="0" borderId="0" xfId="0" applyNumberFormat="1" applyFont="1"/>
    <xf numFmtId="0" fontId="0" fillId="0" borderId="1" xfId="0" applyBorder="1" applyAlignment="1">
      <alignment horizontal="center"/>
    </xf>
    <xf numFmtId="0" fontId="49" fillId="0" borderId="1" xfId="0" applyFont="1" applyBorder="1" applyAlignment="1">
      <alignment horizontal="center"/>
    </xf>
    <xf numFmtId="1" fontId="49" fillId="0" borderId="1" xfId="0" applyNumberFormat="1" applyFont="1" applyBorder="1" applyAlignment="1">
      <alignment horizontal="center"/>
    </xf>
    <xf numFmtId="0" fontId="19" fillId="0" borderId="0" xfId="0" applyFont="1" applyAlignment="1">
      <alignment horizontal="center"/>
    </xf>
    <xf numFmtId="175" fontId="19" fillId="0" borderId="0" xfId="0" applyNumberFormat="1" applyFont="1" applyAlignment="1">
      <alignment horizontal="center"/>
    </xf>
    <xf numFmtId="1" fontId="19" fillId="0" borderId="0" xfId="0" applyNumberFormat="1" applyFont="1" applyAlignment="1">
      <alignment horizontal="center"/>
    </xf>
    <xf numFmtId="174" fontId="19" fillId="0" borderId="21" xfId="0" applyNumberFormat="1" applyFont="1" applyBorder="1" applyAlignment="1">
      <alignment horizontal="center"/>
    </xf>
    <xf numFmtId="0" fontId="19" fillId="0" borderId="0" xfId="0" quotePrefix="1" applyFont="1" applyAlignment="1">
      <alignment horizontal="center"/>
    </xf>
    <xf numFmtId="1" fontId="49" fillId="0" borderId="0" xfId="0" applyNumberFormat="1" applyFont="1" applyAlignment="1">
      <alignment horizontal="center"/>
    </xf>
    <xf numFmtId="0" fontId="45" fillId="10" borderId="0" xfId="0" applyFont="1" applyFill="1" applyAlignment="1">
      <alignment horizontal="center"/>
    </xf>
    <xf numFmtId="167" fontId="45" fillId="10" borderId="0" xfId="0" applyNumberFormat="1" applyFont="1" applyFill="1" applyAlignment="1">
      <alignment horizontal="center"/>
    </xf>
    <xf numFmtId="167" fontId="45" fillId="10" borderId="0" xfId="0" applyNumberFormat="1" applyFont="1" applyFill="1" applyAlignment="1">
      <alignment horizontal="right"/>
    </xf>
    <xf numFmtId="174" fontId="51" fillId="15" borderId="21" xfId="0" applyNumberFormat="1" applyFont="1" applyFill="1" applyBorder="1" applyAlignment="1">
      <alignment horizontal="center"/>
    </xf>
    <xf numFmtId="0" fontId="0" fillId="10" borderId="22" xfId="0" applyFill="1" applyBorder="1"/>
    <xf numFmtId="0" fontId="45" fillId="10" borderId="23" xfId="0" applyFont="1" applyFill="1" applyBorder="1" applyAlignment="1">
      <alignment horizontal="center"/>
    </xf>
    <xf numFmtId="167" fontId="45" fillId="10" borderId="23" xfId="0" applyNumberFormat="1" applyFont="1" applyFill="1" applyBorder="1" applyAlignment="1">
      <alignment horizontal="center"/>
    </xf>
    <xf numFmtId="167" fontId="45" fillId="10" borderId="24" xfId="0" applyNumberFormat="1" applyFont="1" applyFill="1" applyBorder="1" applyAlignment="1">
      <alignment horizontal="center"/>
    </xf>
    <xf numFmtId="0" fontId="46" fillId="0" borderId="25" xfId="0" applyFont="1" applyBorder="1"/>
    <xf numFmtId="0" fontId="45" fillId="10" borderId="26" xfId="0" applyFont="1" applyFill="1" applyBorder="1" applyAlignment="1">
      <alignment horizontal="center"/>
    </xf>
    <xf numFmtId="167" fontId="45" fillId="10" borderId="26" xfId="0" applyNumberFormat="1" applyFont="1" applyFill="1" applyBorder="1" applyAlignment="1">
      <alignment horizontal="center"/>
    </xf>
    <xf numFmtId="167" fontId="45" fillId="10" borderId="27" xfId="0" applyNumberFormat="1" applyFont="1" applyFill="1" applyBorder="1" applyAlignment="1">
      <alignment horizontal="center"/>
    </xf>
    <xf numFmtId="0" fontId="45" fillId="10" borderId="0" xfId="0" applyFont="1" applyFill="1" applyAlignment="1">
      <alignment horizontal="left"/>
    </xf>
    <xf numFmtId="0" fontId="0" fillId="10" borderId="23" xfId="0" applyFill="1" applyBorder="1" applyAlignment="1">
      <alignment horizontal="center"/>
    </xf>
    <xf numFmtId="0" fontId="0" fillId="10" borderId="24" xfId="0" applyFill="1" applyBorder="1" applyAlignment="1">
      <alignment horizontal="center"/>
    </xf>
    <xf numFmtId="165" fontId="127" fillId="0" borderId="115" xfId="5" applyFont="1" applyBorder="1" applyAlignment="1" applyProtection="1">
      <alignment horizontal="center" vertical="center" wrapText="1"/>
    </xf>
    <xf numFmtId="165" fontId="127" fillId="10" borderId="115" xfId="5" applyFont="1" applyFill="1" applyBorder="1" applyAlignment="1" applyProtection="1">
      <alignment horizontal="center" vertical="center" wrapText="1"/>
    </xf>
    <xf numFmtId="165" fontId="127" fillId="0" borderId="112" xfId="5" applyFont="1" applyFill="1" applyBorder="1" applyAlignment="1" applyProtection="1">
      <alignment horizontal="center" vertical="center" wrapText="1"/>
    </xf>
    <xf numFmtId="1" fontId="127" fillId="0" borderId="115" xfId="5" applyNumberFormat="1" applyFont="1" applyBorder="1" applyAlignment="1" applyProtection="1">
      <alignment horizontal="center" vertical="center" wrapText="1"/>
      <protection locked="0"/>
    </xf>
    <xf numFmtId="167" fontId="27" fillId="2" borderId="69" xfId="0" applyNumberFormat="1" applyFont="1" applyFill="1" applyBorder="1" applyProtection="1">
      <protection locked="0"/>
    </xf>
    <xf numFmtId="0" fontId="1" fillId="0" borderId="15" xfId="0" applyFont="1" applyBorder="1" applyAlignment="1">
      <alignment horizontal="right"/>
    </xf>
    <xf numFmtId="0" fontId="130" fillId="0" borderId="0" xfId="0" applyFont="1" applyAlignment="1">
      <alignment horizontal="left" vertical="center"/>
    </xf>
    <xf numFmtId="167" fontId="27" fillId="2" borderId="46" xfId="0" applyNumberFormat="1" applyFont="1" applyFill="1" applyBorder="1" applyProtection="1">
      <protection locked="0"/>
    </xf>
    <xf numFmtId="167" fontId="27" fillId="2" borderId="42" xfId="0" applyNumberFormat="1" applyFont="1" applyFill="1" applyBorder="1" applyProtection="1">
      <protection locked="0"/>
    </xf>
    <xf numFmtId="167" fontId="27" fillId="2" borderId="61" xfId="0" applyNumberFormat="1" applyFont="1" applyFill="1" applyBorder="1" applyProtection="1">
      <protection locked="0"/>
    </xf>
    <xf numFmtId="167" fontId="27" fillId="2" borderId="17" xfId="0" applyNumberFormat="1" applyFont="1" applyFill="1" applyBorder="1" applyProtection="1">
      <protection locked="0"/>
    </xf>
    <xf numFmtId="0" fontId="103" fillId="3" borderId="25" xfId="10" applyFont="1" applyFill="1" applyBorder="1" applyAlignment="1" applyProtection="1">
      <alignment horizontal="center"/>
    </xf>
    <xf numFmtId="0" fontId="103" fillId="3" borderId="26" xfId="10" applyFont="1" applyFill="1" applyBorder="1" applyAlignment="1" applyProtection="1">
      <alignment horizontal="center"/>
    </xf>
    <xf numFmtId="0" fontId="103" fillId="3" borderId="27" xfId="10" applyFont="1" applyFill="1" applyBorder="1" applyAlignment="1" applyProtection="1">
      <alignment horizontal="center"/>
    </xf>
    <xf numFmtId="0" fontId="103" fillId="3" borderId="22" xfId="10" applyFont="1" applyFill="1" applyBorder="1" applyAlignment="1" applyProtection="1">
      <alignment horizontal="center"/>
    </xf>
    <xf numFmtId="0" fontId="103" fillId="3" borderId="23" xfId="10" applyFont="1" applyFill="1" applyBorder="1" applyAlignment="1" applyProtection="1">
      <alignment horizontal="center"/>
    </xf>
    <xf numFmtId="0" fontId="103" fillId="3" borderId="24" xfId="10" applyFont="1" applyFill="1" applyBorder="1" applyAlignment="1" applyProtection="1">
      <alignment horizontal="center"/>
    </xf>
    <xf numFmtId="0" fontId="0" fillId="0" borderId="2" xfId="0" applyBorder="1" applyAlignment="1">
      <alignment vertical="center" wrapText="1"/>
    </xf>
    <xf numFmtId="0" fontId="0" fillId="0" borderId="9" xfId="0" applyBorder="1" applyAlignment="1">
      <alignment vertical="center" wrapText="1"/>
    </xf>
    <xf numFmtId="0" fontId="0" fillId="0" borderId="3" xfId="0" applyBorder="1" applyAlignment="1">
      <alignment vertical="center" wrapText="1"/>
    </xf>
    <xf numFmtId="0" fontId="39" fillId="3" borderId="1" xfId="0" applyFont="1" applyFill="1" applyBorder="1" applyAlignment="1">
      <alignment horizontal="center" vertical="center" wrapText="1"/>
    </xf>
    <xf numFmtId="0" fontId="30" fillId="3" borderId="43" xfId="0" applyFont="1" applyFill="1" applyBorder="1" applyAlignment="1">
      <alignment horizontal="left" vertical="center"/>
    </xf>
    <xf numFmtId="0" fontId="30" fillId="3" borderId="33" xfId="0" applyFont="1" applyFill="1" applyBorder="1" applyAlignment="1">
      <alignment horizontal="left" vertical="center"/>
    </xf>
    <xf numFmtId="0" fontId="30" fillId="3" borderId="34" xfId="0" applyFont="1" applyFill="1" applyBorder="1" applyAlignment="1">
      <alignment horizontal="left" vertical="center"/>
    </xf>
    <xf numFmtId="0" fontId="30" fillId="3" borderId="25" xfId="0" applyFont="1" applyFill="1" applyBorder="1" applyAlignment="1">
      <alignment horizontal="center" vertical="center"/>
    </xf>
    <xf numFmtId="0" fontId="30" fillId="3" borderId="26" xfId="0" applyFont="1" applyFill="1" applyBorder="1" applyAlignment="1">
      <alignment horizontal="center" vertical="center"/>
    </xf>
    <xf numFmtId="0" fontId="30" fillId="3" borderId="27" xfId="0" applyFont="1" applyFill="1" applyBorder="1" applyAlignment="1">
      <alignment horizontal="center" vertical="center"/>
    </xf>
    <xf numFmtId="0" fontId="27" fillId="31" borderId="25" xfId="5" applyNumberFormat="1" applyFont="1" applyFill="1" applyBorder="1" applyAlignment="1" applyProtection="1">
      <alignment horizontal="left" vertical="center"/>
    </xf>
    <xf numFmtId="0" fontId="27" fillId="31" borderId="27" xfId="5" applyNumberFormat="1" applyFont="1" applyFill="1" applyBorder="1" applyAlignment="1" applyProtection="1">
      <alignment horizontal="left" vertical="center"/>
    </xf>
    <xf numFmtId="0" fontId="27" fillId="31" borderId="15" xfId="5" applyNumberFormat="1" applyFont="1" applyFill="1" applyBorder="1" applyAlignment="1" applyProtection="1">
      <alignment horizontal="left" vertical="center" wrapText="1"/>
    </xf>
    <xf numFmtId="0" fontId="27" fillId="31" borderId="21" xfId="5" applyNumberFormat="1" applyFont="1" applyFill="1" applyBorder="1" applyAlignment="1" applyProtection="1">
      <alignment horizontal="left" vertical="center" wrapText="1"/>
    </xf>
    <xf numFmtId="0" fontId="27" fillId="31" borderId="15" xfId="5" applyNumberFormat="1" applyFont="1" applyFill="1" applyBorder="1" applyAlignment="1" applyProtection="1">
      <alignment vertical="center" wrapText="1"/>
    </xf>
    <xf numFmtId="0" fontId="27" fillId="31" borderId="21" xfId="5" applyNumberFormat="1" applyFont="1" applyFill="1" applyBorder="1" applyAlignment="1" applyProtection="1">
      <alignment vertical="center" wrapText="1"/>
    </xf>
    <xf numFmtId="0" fontId="27" fillId="31" borderId="22" xfId="5" applyNumberFormat="1" applyFont="1" applyFill="1" applyBorder="1" applyAlignment="1" applyProtection="1">
      <alignment horizontal="left" vertical="center" wrapText="1"/>
    </xf>
    <xf numFmtId="0" fontId="27" fillId="31" borderId="24" xfId="5" applyNumberFormat="1" applyFont="1" applyFill="1" applyBorder="1" applyAlignment="1" applyProtection="1">
      <alignment horizontal="left" vertical="center" wrapText="1"/>
    </xf>
    <xf numFmtId="0" fontId="54" fillId="27" borderId="2" xfId="0" applyFont="1" applyFill="1" applyBorder="1" applyAlignment="1">
      <alignment vertical="center" wrapText="1"/>
    </xf>
    <xf numFmtId="0" fontId="54" fillId="27" borderId="3" xfId="0" applyFont="1" applyFill="1" applyBorder="1" applyAlignment="1">
      <alignment vertical="center" wrapText="1"/>
    </xf>
    <xf numFmtId="0" fontId="16" fillId="25" borderId="7" xfId="0" applyFont="1" applyFill="1" applyBorder="1" applyAlignment="1">
      <alignment horizontal="center" vertical="center" wrapText="1"/>
    </xf>
    <xf numFmtId="0" fontId="16" fillId="25" borderId="8" xfId="0" applyFont="1" applyFill="1" applyBorder="1" applyAlignment="1">
      <alignment horizontal="center" vertical="center" wrapText="1"/>
    </xf>
    <xf numFmtId="0" fontId="16" fillId="25" borderId="6" xfId="0" applyFont="1" applyFill="1" applyBorder="1" applyAlignment="1">
      <alignment horizontal="center" vertical="center" wrapText="1"/>
    </xf>
    <xf numFmtId="0" fontId="54" fillId="25" borderId="28" xfId="0" applyFont="1" applyFill="1" applyBorder="1" applyAlignment="1">
      <alignment vertical="center"/>
    </xf>
    <xf numFmtId="0" fontId="54" fillId="25" borderId="30" xfId="0" applyFont="1" applyFill="1" applyBorder="1" applyAlignment="1">
      <alignment vertical="center"/>
    </xf>
    <xf numFmtId="0" fontId="54" fillId="25" borderId="13" xfId="0" applyFont="1" applyFill="1" applyBorder="1" applyAlignment="1">
      <alignment vertical="center"/>
    </xf>
    <xf numFmtId="0" fontId="54" fillId="25" borderId="31" xfId="0" applyFont="1" applyFill="1" applyBorder="1" applyAlignment="1">
      <alignment vertical="center"/>
    </xf>
    <xf numFmtId="0" fontId="54" fillId="25" borderId="12" xfId="0" applyFont="1" applyFill="1" applyBorder="1" applyAlignment="1">
      <alignment vertical="center"/>
    </xf>
    <xf numFmtId="0" fontId="54" fillId="25" borderId="11" xfId="0" applyFont="1" applyFill="1" applyBorder="1" applyAlignment="1">
      <alignment vertical="center"/>
    </xf>
    <xf numFmtId="0" fontId="54" fillId="25" borderId="1" xfId="0" applyFont="1" applyFill="1" applyBorder="1" applyAlignment="1">
      <alignment vertical="center" wrapText="1"/>
    </xf>
    <xf numFmtId="0" fontId="8" fillId="0" borderId="43" xfId="3" applyBorder="1" applyAlignment="1" applyProtection="1">
      <alignment horizontal="center" vertical="center"/>
      <protection locked="0"/>
    </xf>
    <xf numFmtId="0" fontId="8" fillId="0" borderId="33" xfId="3" applyBorder="1" applyAlignment="1" applyProtection="1">
      <alignment horizontal="center" vertical="center"/>
      <protection locked="0"/>
    </xf>
    <xf numFmtId="0" fontId="8" fillId="0" borderId="34" xfId="3" applyBorder="1" applyAlignment="1" applyProtection="1">
      <alignment horizontal="center" vertical="center"/>
      <protection locked="0"/>
    </xf>
    <xf numFmtId="0" fontId="20" fillId="0" borderId="0" xfId="0" applyFont="1" applyAlignment="1">
      <alignment horizontal="center"/>
    </xf>
    <xf numFmtId="0" fontId="54" fillId="25" borderId="1" xfId="0" applyFont="1" applyFill="1" applyBorder="1" applyAlignment="1">
      <alignment vertical="center"/>
    </xf>
    <xf numFmtId="0" fontId="54" fillId="26" borderId="2" xfId="0" applyFont="1" applyFill="1" applyBorder="1" applyAlignment="1">
      <alignment vertical="center" wrapText="1"/>
    </xf>
    <xf numFmtId="0" fontId="54" fillId="26" borderId="3" xfId="0" applyFont="1" applyFill="1" applyBorder="1" applyAlignment="1">
      <alignment vertical="center" wrapText="1"/>
    </xf>
    <xf numFmtId="0" fontId="10" fillId="0" borderId="2" xfId="0" applyFont="1" applyBorder="1" applyAlignment="1">
      <alignment vertical="center" wrapText="1"/>
    </xf>
    <xf numFmtId="0" fontId="10" fillId="0" borderId="9" xfId="0" applyFont="1" applyBorder="1" applyAlignment="1">
      <alignment vertical="center" wrapText="1"/>
    </xf>
    <xf numFmtId="0" fontId="10" fillId="0" borderId="3" xfId="0" applyFont="1" applyBorder="1" applyAlignment="1">
      <alignment vertical="center" wrapText="1"/>
    </xf>
    <xf numFmtId="0" fontId="54" fillId="26" borderId="1" xfId="0" applyFont="1" applyFill="1" applyBorder="1" applyAlignment="1">
      <alignment vertical="center" wrapText="1"/>
    </xf>
    <xf numFmtId="0" fontId="30" fillId="3" borderId="43" xfId="0" applyFont="1" applyFill="1" applyBorder="1" applyAlignment="1">
      <alignment horizontal="center" vertical="center"/>
    </xf>
    <xf numFmtId="0" fontId="30" fillId="3" borderId="33" xfId="0" applyFont="1" applyFill="1" applyBorder="1" applyAlignment="1">
      <alignment horizontal="center" vertical="center"/>
    </xf>
    <xf numFmtId="0" fontId="30" fillId="3" borderId="34" xfId="0" applyFont="1" applyFill="1" applyBorder="1" applyAlignment="1">
      <alignment horizontal="center" vertical="center"/>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30" xfId="0" applyFont="1" applyBorder="1" applyAlignment="1">
      <alignment horizontal="left" vertical="center" wrapText="1"/>
    </xf>
    <xf numFmtId="0" fontId="10" fillId="0" borderId="12" xfId="0" applyFont="1" applyBorder="1" applyAlignment="1">
      <alignment horizontal="left" vertical="center" wrapText="1"/>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40" fillId="3" borderId="43" xfId="0" applyFont="1" applyFill="1" applyBorder="1" applyAlignment="1">
      <alignment horizontal="center" vertical="center"/>
    </xf>
    <xf numFmtId="0" fontId="40" fillId="3" borderId="33" xfId="0" applyFont="1" applyFill="1" applyBorder="1" applyAlignment="1">
      <alignment horizontal="center" vertical="center"/>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0" borderId="30" xfId="0" applyBorder="1" applyAlignment="1">
      <alignment horizontal="left" vertical="center" wrapText="1"/>
    </xf>
    <xf numFmtId="0" fontId="0" fillId="0" borderId="13" xfId="0" applyBorder="1" applyAlignment="1">
      <alignment horizontal="left" vertical="center" wrapText="1"/>
    </xf>
    <xf numFmtId="0" fontId="0" fillId="0" borderId="0" xfId="0" applyAlignment="1">
      <alignment horizontal="left" vertical="center" wrapText="1"/>
    </xf>
    <xf numFmtId="0" fontId="0" fillId="0" borderId="31" xfId="0" applyBorder="1" applyAlignment="1">
      <alignment horizontal="left" vertical="center" wrapText="1"/>
    </xf>
    <xf numFmtId="0" fontId="0" fillId="0" borderId="12"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2" fillId="0" borderId="0" xfId="0" applyFont="1" applyAlignment="1">
      <alignment wrapText="1"/>
    </xf>
    <xf numFmtId="0" fontId="43" fillId="3" borderId="25" xfId="0" applyFont="1" applyFill="1" applyBorder="1" applyAlignment="1">
      <alignment horizontal="center" vertical="center" wrapText="1"/>
    </xf>
    <xf numFmtId="0" fontId="43" fillId="3" borderId="26" xfId="0" applyFont="1" applyFill="1" applyBorder="1" applyAlignment="1">
      <alignment horizontal="center" vertical="center" wrapText="1"/>
    </xf>
    <xf numFmtId="0" fontId="43" fillId="3" borderId="27" xfId="0" applyFont="1" applyFill="1" applyBorder="1" applyAlignment="1">
      <alignment horizontal="center" vertical="center" wrapText="1"/>
    </xf>
    <xf numFmtId="0" fontId="37" fillId="5" borderId="63" xfId="0" applyFont="1" applyFill="1" applyBorder="1" applyAlignment="1">
      <alignment horizontal="right" vertical="center"/>
    </xf>
    <xf numFmtId="0" fontId="37" fillId="5" borderId="35" xfId="0" applyFont="1" applyFill="1" applyBorder="1" applyAlignment="1">
      <alignment horizontal="right" vertical="center"/>
    </xf>
    <xf numFmtId="0" fontId="43" fillId="3" borderId="0" xfId="10" applyFont="1" applyFill="1" applyBorder="1" applyAlignment="1" applyProtection="1">
      <alignment horizontal="center"/>
    </xf>
    <xf numFmtId="0" fontId="43" fillId="3" borderId="31" xfId="10" applyFont="1" applyFill="1" applyBorder="1" applyAlignment="1" applyProtection="1">
      <alignment horizontal="center"/>
    </xf>
    <xf numFmtId="0" fontId="23" fillId="0" borderId="15" xfId="0" applyFont="1" applyBorder="1" applyAlignment="1">
      <alignment horizontal="left" vertical="center" wrapText="1"/>
    </xf>
    <xf numFmtId="0" fontId="23" fillId="0" borderId="0" xfId="0" applyFont="1" applyAlignment="1">
      <alignment horizontal="left" vertical="center" wrapText="1"/>
    </xf>
    <xf numFmtId="49" fontId="27" fillId="2" borderId="28" xfId="5" applyNumberFormat="1" applyFont="1" applyFill="1" applyBorder="1" applyAlignment="1" applyProtection="1">
      <alignment horizontal="center" vertical="center"/>
      <protection locked="0"/>
    </xf>
    <xf numFmtId="49" fontId="27" fillId="2" borderId="29" xfId="5" applyNumberFormat="1" applyFont="1" applyFill="1" applyBorder="1" applyAlignment="1" applyProtection="1">
      <alignment horizontal="center" vertical="center"/>
      <protection locked="0"/>
    </xf>
    <xf numFmtId="49" fontId="27" fillId="2" borderId="30" xfId="5" applyNumberFormat="1" applyFont="1" applyFill="1" applyBorder="1" applyAlignment="1" applyProtection="1">
      <alignment horizontal="center" vertical="center"/>
      <protection locked="0"/>
    </xf>
    <xf numFmtId="49" fontId="27" fillId="2" borderId="12" xfId="5" applyNumberFormat="1" applyFont="1" applyFill="1" applyBorder="1" applyAlignment="1" applyProtection="1">
      <alignment horizontal="center" vertical="center"/>
      <protection locked="0"/>
    </xf>
    <xf numFmtId="49" fontId="27" fillId="2" borderId="10" xfId="5" applyNumberFormat="1" applyFont="1" applyFill="1" applyBorder="1" applyAlignment="1" applyProtection="1">
      <alignment horizontal="center" vertical="center"/>
      <protection locked="0"/>
    </xf>
    <xf numFmtId="49" fontId="27" fillId="2" borderId="11" xfId="5" applyNumberFormat="1" applyFont="1" applyFill="1" applyBorder="1" applyAlignment="1" applyProtection="1">
      <alignment horizontal="center" vertical="center"/>
      <protection locked="0"/>
    </xf>
    <xf numFmtId="0" fontId="23" fillId="4" borderId="4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5" borderId="41" xfId="0" applyFont="1" applyFill="1" applyBorder="1" applyAlignment="1">
      <alignment horizontal="center" vertical="center" textRotation="90" wrapText="1"/>
    </xf>
    <xf numFmtId="0" fontId="23" fillId="5" borderId="41" xfId="0" applyFont="1" applyFill="1" applyBorder="1" applyAlignment="1">
      <alignment horizontal="right" vertical="center"/>
    </xf>
    <xf numFmtId="0" fontId="23" fillId="5" borderId="1" xfId="0" applyFont="1" applyFill="1" applyBorder="1" applyAlignment="1">
      <alignment horizontal="right" vertical="center"/>
    </xf>
    <xf numFmtId="0" fontId="9" fillId="0" borderId="41" xfId="0" applyFont="1" applyBorder="1" applyAlignment="1">
      <alignment horizontal="right" vertical="center"/>
    </xf>
    <xf numFmtId="0" fontId="9" fillId="0" borderId="1" xfId="0" applyFont="1" applyBorder="1" applyAlignment="1">
      <alignment horizontal="right" vertical="center"/>
    </xf>
    <xf numFmtId="0" fontId="9" fillId="5" borderId="41" xfId="0" applyFont="1" applyFill="1" applyBorder="1" applyAlignment="1">
      <alignment horizontal="right" vertical="center"/>
    </xf>
    <xf numFmtId="0" fontId="9" fillId="5" borderId="1" xfId="0" applyFont="1" applyFill="1" applyBorder="1" applyAlignment="1">
      <alignment horizontal="right" vertical="center"/>
    </xf>
    <xf numFmtId="0" fontId="23" fillId="0" borderId="0" xfId="0" applyFont="1" applyAlignment="1">
      <alignment horizontal="left" wrapText="1"/>
    </xf>
    <xf numFmtId="0" fontId="43" fillId="3" borderId="0" xfId="10" applyFont="1" applyFill="1" applyBorder="1" applyAlignment="1" applyProtection="1">
      <alignment horizontal="left"/>
    </xf>
    <xf numFmtId="0" fontId="23" fillId="0" borderId="10" xfId="0" applyFont="1" applyBorder="1" applyAlignment="1">
      <alignment horizontal="left" vertical="center" wrapText="1"/>
    </xf>
    <xf numFmtId="0" fontId="30" fillId="16" borderId="25" xfId="0" applyFont="1" applyFill="1" applyBorder="1" applyAlignment="1">
      <alignment horizontal="center" vertical="center"/>
    </xf>
    <xf numFmtId="0" fontId="30" fillId="16" borderId="26" xfId="0" applyFont="1" applyFill="1" applyBorder="1" applyAlignment="1">
      <alignment horizontal="center" vertical="center"/>
    </xf>
    <xf numFmtId="0" fontId="30" fillId="16" borderId="27" xfId="0" applyFont="1" applyFill="1" applyBorder="1" applyAlignment="1">
      <alignment horizontal="center" vertical="center"/>
    </xf>
    <xf numFmtId="0" fontId="30" fillId="16" borderId="15" xfId="0" applyFont="1" applyFill="1" applyBorder="1" applyAlignment="1">
      <alignment horizontal="center" vertical="center"/>
    </xf>
    <xf numFmtId="0" fontId="30" fillId="16" borderId="0" xfId="0" applyFont="1" applyFill="1" applyAlignment="1">
      <alignment horizontal="center" vertical="center"/>
    </xf>
    <xf numFmtId="0" fontId="30" fillId="16" borderId="21" xfId="0" applyFont="1" applyFill="1" applyBorder="1" applyAlignment="1">
      <alignment horizontal="center" vertical="center"/>
    </xf>
    <xf numFmtId="0" fontId="37" fillId="5" borderId="43" xfId="0" applyFont="1" applyFill="1" applyBorder="1" applyAlignment="1">
      <alignment horizontal="center" vertical="center"/>
    </xf>
    <xf numFmtId="0" fontId="37" fillId="5" borderId="33" xfId="0" applyFont="1" applyFill="1" applyBorder="1" applyAlignment="1">
      <alignment horizontal="center" vertical="center"/>
    </xf>
    <xf numFmtId="0" fontId="37" fillId="5" borderId="34" xfId="0" applyFont="1" applyFill="1" applyBorder="1" applyAlignment="1">
      <alignment horizontal="center" vertical="center"/>
    </xf>
    <xf numFmtId="0" fontId="53" fillId="5" borderId="43" xfId="0" applyFont="1" applyFill="1" applyBorder="1" applyAlignment="1">
      <alignment horizontal="center" vertical="center" wrapText="1"/>
    </xf>
    <xf numFmtId="0" fontId="53" fillId="5" borderId="33" xfId="0" applyFont="1" applyFill="1" applyBorder="1" applyAlignment="1">
      <alignment horizontal="center" vertical="center" wrapText="1"/>
    </xf>
    <xf numFmtId="0" fontId="53" fillId="5" borderId="34" xfId="0" applyFont="1" applyFill="1" applyBorder="1" applyAlignment="1">
      <alignment horizontal="center" vertical="center" wrapText="1"/>
    </xf>
    <xf numFmtId="0" fontId="30" fillId="16" borderId="26" xfId="0" applyFont="1" applyFill="1" applyBorder="1" applyAlignment="1">
      <alignment horizontal="center" vertical="center" wrapText="1"/>
    </xf>
    <xf numFmtId="0" fontId="30" fillId="16" borderId="10" xfId="0" applyFont="1" applyFill="1" applyBorder="1" applyAlignment="1">
      <alignment horizontal="center" vertical="center" wrapText="1"/>
    </xf>
    <xf numFmtId="0" fontId="30" fillId="16" borderId="65" xfId="0" applyFont="1" applyFill="1" applyBorder="1" applyAlignment="1">
      <alignment horizontal="center" vertical="center" wrapText="1"/>
    </xf>
    <xf numFmtId="0" fontId="30" fillId="16" borderId="66" xfId="0" applyFont="1" applyFill="1" applyBorder="1" applyAlignment="1">
      <alignment horizontal="center" vertical="center" wrapText="1"/>
    </xf>
    <xf numFmtId="0" fontId="30" fillId="16" borderId="67" xfId="0" applyFont="1" applyFill="1" applyBorder="1" applyAlignment="1">
      <alignment horizontal="center" vertical="center" wrapText="1"/>
    </xf>
    <xf numFmtId="0" fontId="30" fillId="16" borderId="1" xfId="0" applyFont="1" applyFill="1" applyBorder="1" applyAlignment="1">
      <alignment horizontal="center" vertical="center" wrapText="1"/>
    </xf>
    <xf numFmtId="0" fontId="23" fillId="0" borderId="25" xfId="0" applyFont="1" applyBorder="1" applyAlignment="1">
      <alignment horizontal="left" vertical="center" wrapText="1"/>
    </xf>
    <xf numFmtId="0" fontId="23" fillId="0" borderId="26" xfId="0" applyFont="1" applyBorder="1" applyAlignment="1">
      <alignment horizontal="left" vertical="center" wrapText="1"/>
    </xf>
    <xf numFmtId="0" fontId="23" fillId="0" borderId="27" xfId="0" applyFont="1" applyBorder="1" applyAlignment="1">
      <alignment horizontal="left" vertical="center" wrapText="1"/>
    </xf>
    <xf numFmtId="0" fontId="23" fillId="0" borderId="22" xfId="0" applyFont="1" applyBorder="1" applyAlignment="1">
      <alignment horizontal="left" vertical="center" wrapText="1"/>
    </xf>
    <xf numFmtId="0" fontId="23" fillId="0" borderId="23" xfId="0" applyFont="1" applyBorder="1" applyAlignment="1">
      <alignment horizontal="left" vertical="center" wrapText="1"/>
    </xf>
    <xf numFmtId="0" fontId="23" fillId="0" borderId="24" xfId="0" applyFont="1" applyBorder="1" applyAlignment="1">
      <alignment horizontal="left" vertical="center" wrapText="1"/>
    </xf>
    <xf numFmtId="0" fontId="53" fillId="0" borderId="0" xfId="0" applyFont="1" applyAlignment="1">
      <alignment horizontal="center"/>
    </xf>
    <xf numFmtId="0" fontId="23" fillId="0" borderId="21" xfId="0" applyFont="1" applyBorder="1" applyAlignment="1">
      <alignment horizontal="left" vertical="center" wrapText="1"/>
    </xf>
    <xf numFmtId="0" fontId="107" fillId="0" borderId="0" xfId="0" applyFont="1" applyAlignment="1">
      <alignment horizontal="left"/>
    </xf>
    <xf numFmtId="0" fontId="120" fillId="33" borderId="108" xfId="10" applyFont="1" applyFill="1" applyBorder="1" applyAlignment="1" applyProtection="1">
      <alignment horizontal="center"/>
    </xf>
    <xf numFmtId="0" fontId="120" fillId="33" borderId="109" xfId="10" applyFont="1" applyFill="1" applyBorder="1" applyAlignment="1" applyProtection="1">
      <alignment horizontal="center"/>
    </xf>
    <xf numFmtId="0" fontId="120" fillId="33" borderId="110" xfId="10" applyFont="1" applyFill="1" applyBorder="1" applyAlignment="1" applyProtection="1">
      <alignment horizontal="center"/>
    </xf>
    <xf numFmtId="0" fontId="120" fillId="33" borderId="38" xfId="10" applyFont="1" applyFill="1" applyBorder="1" applyAlignment="1" applyProtection="1">
      <alignment horizontal="center"/>
    </xf>
    <xf numFmtId="0" fontId="120" fillId="33" borderId="99" xfId="10" applyFont="1" applyFill="1" applyBorder="1" applyAlignment="1" applyProtection="1">
      <alignment horizontal="center"/>
    </xf>
    <xf numFmtId="0" fontId="120" fillId="33" borderId="100" xfId="10" applyFont="1" applyFill="1" applyBorder="1" applyAlignment="1" applyProtection="1">
      <alignment horizontal="center"/>
    </xf>
    <xf numFmtId="0" fontId="120" fillId="33" borderId="101" xfId="10" applyFont="1" applyFill="1" applyBorder="1" applyAlignment="1" applyProtection="1">
      <alignment horizontal="center"/>
    </xf>
    <xf numFmtId="0" fontId="131" fillId="3" borderId="102" xfId="10" applyFont="1" applyFill="1" applyBorder="1" applyAlignment="1" applyProtection="1">
      <alignment horizontal="center"/>
    </xf>
    <xf numFmtId="0" fontId="131" fillId="3" borderId="103" xfId="10" applyFont="1" applyFill="1" applyBorder="1" applyAlignment="1" applyProtection="1">
      <alignment horizontal="center"/>
    </xf>
    <xf numFmtId="0" fontId="131" fillId="3" borderId="104" xfId="10" applyFont="1" applyFill="1" applyBorder="1" applyAlignment="1" applyProtection="1">
      <alignment horizontal="center"/>
    </xf>
    <xf numFmtId="0" fontId="121" fillId="0" borderId="105" xfId="0" applyFont="1" applyBorder="1" applyAlignment="1">
      <alignment horizontal="left" vertical="center" wrapText="1"/>
    </xf>
    <xf numFmtId="0" fontId="121" fillId="0" borderId="106" xfId="0" applyFont="1" applyBorder="1" applyAlignment="1">
      <alignment horizontal="left" vertical="center" wrapText="1"/>
    </xf>
    <xf numFmtId="0" fontId="121" fillId="0" borderId="107" xfId="0" applyFont="1" applyBorder="1" applyAlignment="1">
      <alignment horizontal="left" vertical="center" wrapText="1"/>
    </xf>
    <xf numFmtId="0" fontId="23" fillId="0" borderId="21" xfId="0" applyFont="1" applyBorder="1" applyAlignment="1">
      <alignment horizontal="center" wrapText="1"/>
    </xf>
    <xf numFmtId="0" fontId="70" fillId="10" borderId="15" xfId="0" applyFont="1" applyFill="1" applyBorder="1" applyAlignment="1">
      <alignment horizontal="center"/>
    </xf>
    <xf numFmtId="0" fontId="70" fillId="10" borderId="0" xfId="0" applyFont="1" applyFill="1" applyAlignment="1">
      <alignment horizontal="center"/>
    </xf>
    <xf numFmtId="0" fontId="43" fillId="3" borderId="25" xfId="10" applyFont="1" applyFill="1" applyBorder="1" applyAlignment="1" applyProtection="1">
      <alignment horizontal="center"/>
    </xf>
    <xf numFmtId="0" fontId="43" fillId="3" borderId="26" xfId="10" applyFont="1" applyFill="1" applyBorder="1" applyAlignment="1" applyProtection="1">
      <alignment horizontal="center"/>
    </xf>
    <xf numFmtId="0" fontId="43" fillId="3" borderId="15" xfId="10" applyFont="1" applyFill="1" applyBorder="1" applyAlignment="1" applyProtection="1">
      <alignment horizontal="center"/>
    </xf>
    <xf numFmtId="0" fontId="43" fillId="3" borderId="22" xfId="10" applyFont="1" applyFill="1" applyBorder="1" applyAlignment="1" applyProtection="1">
      <alignment horizontal="center"/>
    </xf>
    <xf numFmtId="0" fontId="43" fillId="3" borderId="23" xfId="10" applyFont="1" applyFill="1" applyBorder="1" applyAlignment="1" applyProtection="1">
      <alignment horizontal="center"/>
    </xf>
    <xf numFmtId="0" fontId="43" fillId="3" borderId="24" xfId="10" applyFont="1" applyFill="1" applyBorder="1" applyAlignment="1" applyProtection="1">
      <alignment horizontal="center"/>
    </xf>
    <xf numFmtId="0" fontId="23" fillId="10" borderId="54" xfId="0" applyFont="1" applyFill="1" applyBorder="1" applyAlignment="1">
      <alignment horizontal="left" wrapText="1"/>
    </xf>
    <xf numFmtId="0" fontId="23" fillId="10" borderId="55" xfId="0" applyFont="1" applyFill="1" applyBorder="1" applyAlignment="1">
      <alignment horizontal="left" wrapText="1"/>
    </xf>
    <xf numFmtId="49" fontId="4" fillId="2" borderId="80" xfId="11" applyNumberFormat="1" applyFont="1" applyFill="1" applyBorder="1" applyAlignment="1" applyProtection="1">
      <alignment horizontal="center"/>
      <protection locked="0"/>
    </xf>
    <xf numFmtId="49" fontId="4" fillId="2" borderId="59" xfId="11" applyNumberFormat="1" applyFont="1" applyFill="1" applyBorder="1" applyAlignment="1" applyProtection="1">
      <alignment horizontal="center"/>
      <protection locked="0"/>
    </xf>
    <xf numFmtId="165" fontId="40" fillId="18" borderId="69" xfId="5" applyFont="1" applyFill="1" applyBorder="1" applyAlignment="1" applyProtection="1">
      <alignment vertical="center"/>
    </xf>
    <xf numFmtId="165" fontId="40" fillId="18" borderId="60" xfId="5" applyFont="1" applyFill="1" applyBorder="1" applyAlignment="1" applyProtection="1">
      <alignment vertical="center"/>
    </xf>
    <xf numFmtId="0" fontId="23" fillId="0" borderId="2" xfId="0" applyFont="1" applyBorder="1" applyAlignment="1">
      <alignment horizontal="left" indent="1"/>
    </xf>
    <xf numFmtId="0" fontId="23" fillId="0" borderId="3" xfId="0" applyFont="1" applyBorder="1" applyAlignment="1">
      <alignment horizontal="left" indent="1"/>
    </xf>
    <xf numFmtId="0" fontId="23" fillId="0" borderId="2" xfId="0" applyFont="1" applyBorder="1" applyAlignment="1">
      <alignment horizontal="right"/>
    </xf>
    <xf numFmtId="0" fontId="23" fillId="0" borderId="3" xfId="0" applyFont="1" applyBorder="1" applyAlignment="1">
      <alignment horizontal="right"/>
    </xf>
    <xf numFmtId="0" fontId="9" fillId="0" borderId="1" xfId="0" applyFont="1" applyBorder="1" applyAlignment="1">
      <alignment horizontal="left" vertical="top"/>
    </xf>
    <xf numFmtId="0" fontId="9" fillId="0" borderId="1" xfId="0" applyFont="1" applyBorder="1" applyAlignment="1">
      <alignment horizontal="right" vertical="top"/>
    </xf>
    <xf numFmtId="0" fontId="30" fillId="3" borderId="3" xfId="0" applyFont="1" applyFill="1" applyBorder="1" applyAlignment="1">
      <alignment horizontal="center" vertical="center"/>
    </xf>
    <xf numFmtId="0" fontId="30" fillId="3" borderId="1" xfId="0" applyFont="1" applyFill="1" applyBorder="1" applyAlignment="1">
      <alignment horizontal="center" vertical="center"/>
    </xf>
    <xf numFmtId="0" fontId="23" fillId="0" borderId="1" xfId="0" applyFont="1" applyBorder="1" applyAlignment="1">
      <alignment horizontal="left" vertical="center"/>
    </xf>
    <xf numFmtId="0" fontId="102" fillId="3" borderId="43" xfId="0" applyFont="1" applyFill="1" applyBorder="1" applyAlignment="1">
      <alignment horizontal="center"/>
    </xf>
    <xf numFmtId="0" fontId="102" fillId="3" borderId="33" xfId="0" applyFont="1" applyFill="1" applyBorder="1" applyAlignment="1">
      <alignment horizontal="center"/>
    </xf>
    <xf numFmtId="0" fontId="102" fillId="3" borderId="34" xfId="0" applyFont="1" applyFill="1" applyBorder="1" applyAlignment="1">
      <alignment horizontal="center"/>
    </xf>
    <xf numFmtId="0" fontId="43" fillId="3" borderId="15" xfId="0" applyFont="1" applyFill="1" applyBorder="1" applyAlignment="1">
      <alignment horizontal="center"/>
    </xf>
    <xf numFmtId="0" fontId="43" fillId="3" borderId="0" xfId="0" applyFont="1" applyFill="1" applyAlignment="1">
      <alignment horizontal="center"/>
    </xf>
    <xf numFmtId="1" fontId="43" fillId="3" borderId="22" xfId="0" applyNumberFormat="1" applyFont="1" applyFill="1" applyBorder="1" applyAlignment="1">
      <alignment horizontal="center"/>
    </xf>
    <xf numFmtId="0" fontId="43" fillId="3" borderId="23" xfId="0" applyFont="1" applyFill="1" applyBorder="1" applyAlignment="1">
      <alignment horizontal="center"/>
    </xf>
    <xf numFmtId="0" fontId="40" fillId="3" borderId="43" xfId="0" applyFont="1" applyFill="1" applyBorder="1" applyAlignment="1">
      <alignment horizontal="center" vertical="center" wrapText="1"/>
    </xf>
    <xf numFmtId="0" fontId="40" fillId="3" borderId="52" xfId="0" applyFont="1" applyFill="1" applyBorder="1" applyAlignment="1">
      <alignment horizontal="center" vertical="center" wrapText="1"/>
    </xf>
    <xf numFmtId="0" fontId="43" fillId="3" borderId="43" xfId="0" applyFont="1" applyFill="1" applyBorder="1" applyAlignment="1">
      <alignment horizontal="center" vertical="center"/>
    </xf>
    <xf numFmtId="0" fontId="43" fillId="3" borderId="33" xfId="0" applyFont="1" applyFill="1" applyBorder="1" applyAlignment="1">
      <alignment horizontal="center" vertical="center"/>
    </xf>
    <xf numFmtId="0" fontId="23" fillId="0" borderId="1" xfId="0" applyFont="1" applyBorder="1" applyAlignment="1">
      <alignment horizontal="left" indent="1"/>
    </xf>
    <xf numFmtId="0" fontId="102" fillId="3" borderId="25" xfId="0" applyFont="1" applyFill="1" applyBorder="1" applyAlignment="1">
      <alignment horizontal="center"/>
    </xf>
    <xf numFmtId="0" fontId="102" fillId="3" borderId="26" xfId="0" applyFont="1" applyFill="1" applyBorder="1" applyAlignment="1">
      <alignment horizontal="center"/>
    </xf>
    <xf numFmtId="0" fontId="102" fillId="3" borderId="27" xfId="0" applyFont="1" applyFill="1" applyBorder="1" applyAlignment="1">
      <alignment horizontal="center"/>
    </xf>
    <xf numFmtId="0" fontId="40" fillId="3" borderId="43" xfId="0" applyFont="1" applyFill="1" applyBorder="1" applyAlignment="1">
      <alignment horizontal="center"/>
    </xf>
    <xf numFmtId="0" fontId="40" fillId="3" borderId="33" xfId="0" applyFont="1" applyFill="1" applyBorder="1" applyAlignment="1">
      <alignment horizontal="center"/>
    </xf>
    <xf numFmtId="0" fontId="40" fillId="3" borderId="34" xfId="0" applyFont="1" applyFill="1" applyBorder="1" applyAlignment="1">
      <alignment horizontal="center"/>
    </xf>
    <xf numFmtId="0" fontId="43" fillId="3" borderId="21" xfId="0" applyFont="1" applyFill="1" applyBorder="1" applyAlignment="1">
      <alignment horizontal="center"/>
    </xf>
    <xf numFmtId="0" fontId="43" fillId="3" borderId="22" xfId="0" applyFont="1" applyFill="1" applyBorder="1" applyAlignment="1">
      <alignment horizontal="center"/>
    </xf>
    <xf numFmtId="0" fontId="43" fillId="3" borderId="24" xfId="0" applyFont="1" applyFill="1" applyBorder="1" applyAlignment="1">
      <alignment horizontal="center"/>
    </xf>
    <xf numFmtId="0" fontId="69" fillId="0" borderId="0" xfId="0" applyFont="1" applyAlignment="1">
      <alignment horizontal="left" wrapText="1"/>
    </xf>
    <xf numFmtId="0" fontId="102" fillId="3" borderId="15" xfId="0" applyFont="1" applyFill="1" applyBorder="1" applyAlignment="1">
      <alignment horizontal="center" wrapText="1"/>
    </xf>
    <xf numFmtId="0" fontId="102" fillId="3" borderId="0" xfId="0" applyFont="1" applyFill="1" applyAlignment="1">
      <alignment horizontal="center" wrapText="1"/>
    </xf>
    <xf numFmtId="0" fontId="102" fillId="3" borderId="31" xfId="0" applyFont="1" applyFill="1" applyBorder="1" applyAlignment="1">
      <alignment horizontal="center" wrapText="1"/>
    </xf>
    <xf numFmtId="0" fontId="102" fillId="3" borderId="15" xfId="0" applyFont="1" applyFill="1" applyBorder="1" applyAlignment="1">
      <alignment horizontal="center"/>
    </xf>
    <xf numFmtId="0" fontId="102" fillId="3" borderId="0" xfId="0" applyFont="1" applyFill="1" applyAlignment="1">
      <alignment horizontal="center"/>
    </xf>
    <xf numFmtId="0" fontId="102" fillId="3" borderId="31" xfId="0" applyFont="1" applyFill="1" applyBorder="1" applyAlignment="1">
      <alignment horizontal="center"/>
    </xf>
    <xf numFmtId="0" fontId="47" fillId="10" borderId="26" xfId="10" applyFont="1" applyFill="1" applyBorder="1" applyAlignment="1" applyProtection="1">
      <alignment horizontal="center"/>
    </xf>
    <xf numFmtId="167" fontId="19" fillId="0" borderId="1" xfId="0" applyNumberFormat="1" applyFont="1" applyBorder="1" applyAlignment="1">
      <alignment horizontal="center"/>
    </xf>
    <xf numFmtId="0" fontId="0" fillId="0" borderId="1" xfId="0" applyBorder="1" applyAlignment="1">
      <alignment horizontal="center"/>
    </xf>
    <xf numFmtId="0" fontId="49" fillId="0" borderId="1" xfId="0" applyFont="1" applyBorder="1" applyAlignment="1">
      <alignment horizontal="center"/>
    </xf>
    <xf numFmtId="0" fontId="23" fillId="0" borderId="6" xfId="0" applyFont="1" applyBorder="1" applyAlignment="1"/>
    <xf numFmtId="0" fontId="23" fillId="0" borderId="1" xfId="0" applyFont="1" applyBorder="1" applyAlignment="1"/>
  </cellXfs>
  <cellStyles count="12">
    <cellStyle name="Comma" xfId="11" builtinId="3"/>
    <cellStyle name="Currency" xfId="5" builtinId="4"/>
    <cellStyle name="Currency 2" xfId="6" xr:uid="{1F3C72DD-BD59-453B-8A5C-8BA75C64C25D}"/>
    <cellStyle name="Explanatory Text 2" xfId="9" xr:uid="{0CA7D270-A079-484C-A3E1-F09F103F5147}"/>
    <cellStyle name="Hyperlink" xfId="3" builtinId="8"/>
    <cellStyle name="Input 2" xfId="7" xr:uid="{CB5182C8-7AC1-4463-99BD-7175D1A69075}"/>
    <cellStyle name="Normal" xfId="0" builtinId="0"/>
    <cellStyle name="Normal 2" xfId="4" xr:uid="{FCD38EFD-7DD6-4DAF-BA2A-A9EB2112FBCD}"/>
    <cellStyle name="Output" xfId="2" builtinId="21"/>
    <cellStyle name="Output 2" xfId="8" xr:uid="{69B0B1ED-49BB-468A-84C7-A1FC0785723C}"/>
    <cellStyle name="Percent" xfId="1" builtinId="5"/>
    <cellStyle name="Title 2" xfId="10" xr:uid="{CC81F9D9-D513-4985-B5A1-650F7810B27F}"/>
  </cellStyles>
  <dxfs count="62">
    <dxf>
      <fill>
        <patternFill>
          <bgColor rgb="FF00B050"/>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ill>
        <patternFill patternType="solid">
          <bgColor theme="6" tint="0.79998168889431442"/>
        </patternFill>
      </fill>
    </dxf>
    <dxf>
      <fill>
        <patternFill>
          <bgColor theme="2"/>
        </patternFill>
      </fill>
    </dxf>
    <dxf>
      <fill>
        <patternFill patternType="solid">
          <bgColor theme="6" tint="0.79998168889431442"/>
        </patternFill>
      </fill>
    </dxf>
    <dxf>
      <fill>
        <patternFill patternType="solid">
          <bgColor theme="6" tint="0.79998168889431442"/>
        </patternFill>
      </fill>
    </dxf>
    <dxf>
      <font>
        <color rgb="FF9C0006"/>
      </font>
      <fill>
        <patternFill>
          <bgColor rgb="FFFFC7CE"/>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bgColor theme="2"/>
        </patternFill>
      </fill>
    </dxf>
    <dxf>
      <font>
        <color rgb="FFFF0000"/>
      </font>
    </dxf>
    <dxf>
      <font>
        <b/>
        <i val="0"/>
        <strike val="0"/>
        <condense val="0"/>
        <extend val="0"/>
        <outline val="0"/>
        <shadow val="0"/>
        <u val="none"/>
        <vertAlign val="baseline"/>
        <sz val="12"/>
        <color theme="1"/>
        <name val="Calibri"/>
        <family val="2"/>
        <scheme val="minor"/>
      </font>
      <numFmt numFmtId="165" formatCode="_-&quot;$&quot;* #,##0.00_-;\-&quot;$&quot;* #,##0.00_-;_-&quot;$&quot;* &quot;-&quot;??_-;_-@_-"/>
      <fill>
        <patternFill patternType="solid">
          <fgColor indexed="64"/>
          <bgColor theme="2" tint="-9.9978637043366805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theme="1"/>
        <name val="Calibri"/>
        <family val="2"/>
        <scheme val="minor"/>
      </font>
      <numFmt numFmtId="165" formatCode="_-&quot;$&quot;* #,##0.00_-;\-&quot;$&quot;* #,##0.00_-;_-&quot;$&quot;* &quot;-&quot;??_-;_-@_-"/>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Calibri"/>
        <family val="2"/>
        <scheme val="minor"/>
      </font>
      <alignment horizontal="left" vertical="bottom" textRotation="0" wrapText="0" indent="1"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theme="1"/>
        <name val="Calibri"/>
        <family val="2"/>
        <scheme val="minor"/>
      </font>
      <fill>
        <patternFill patternType="solid">
          <fgColor indexed="64"/>
          <bgColor theme="9" tint="0.79998168889431442"/>
        </patternFill>
      </fill>
      <alignment horizontal="left" vertical="bottom" textRotation="0" wrapText="0" indent="1"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rgb="FFFF0000"/>
        <name val="Calibri"/>
        <family val="2"/>
        <scheme val="minor"/>
      </font>
      <alignment horizontal="left" vertical="bottom" textRotation="0" wrapText="0" indent="1" justifyLastLine="0" shrinkToFit="0" readingOrder="0"/>
      <border diagonalUp="0" diagonalDown="0" outline="0">
        <left/>
        <right/>
        <top style="thin">
          <color indexed="64"/>
        </top>
        <bottom/>
      </border>
    </dxf>
    <dxf>
      <border>
        <top style="thin">
          <color indexed="64"/>
        </top>
      </border>
    </dxf>
    <dxf>
      <fill>
        <patternFill patternType="none">
          <fgColor indexed="64"/>
          <bgColor auto="1"/>
        </patternFill>
      </fill>
      <protection locked="1" hidden="0"/>
    </dxf>
    <dxf>
      <font>
        <strike val="0"/>
        <outline val="0"/>
        <shadow val="0"/>
        <u val="none"/>
        <vertAlign val="baseline"/>
        <sz val="12"/>
        <name val="Calibri"/>
        <family val="2"/>
        <scheme val="minor"/>
      </font>
      <protection locked="1" hidden="0"/>
    </dxf>
    <dxf>
      <font>
        <b/>
        <i val="0"/>
        <strike val="0"/>
        <condense val="0"/>
        <extend val="0"/>
        <outline val="0"/>
        <shadow val="0"/>
        <u val="none"/>
        <vertAlign val="baseline"/>
        <sz val="16"/>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bgColor theme="6" tint="0.79998168889431442"/>
        </patternFill>
      </fill>
    </dxf>
    <dxf>
      <fill>
        <patternFill>
          <bgColor rgb="FFFF0000"/>
        </patternFill>
      </fill>
    </dxf>
    <dxf>
      <fill>
        <patternFill>
          <bgColor rgb="FFFF0000"/>
        </patternFill>
      </fill>
    </dxf>
    <dxf>
      <fill>
        <patternFill>
          <bgColor rgb="FFFF0000"/>
        </patternFill>
      </fill>
    </dxf>
    <dxf>
      <fill>
        <patternFill patternType="solid">
          <bgColor theme="6" tint="0.79998168889431442"/>
        </patternFill>
      </fill>
    </dxf>
    <dxf>
      <font>
        <color auto="1"/>
      </font>
      <fill>
        <patternFill>
          <bgColor theme="9" tint="0.79998168889431442"/>
        </patternFill>
      </fill>
    </dxf>
    <dxf>
      <fill>
        <patternFill>
          <bgColor theme="9" tint="0.79998168889431442"/>
        </patternFill>
      </fill>
    </dxf>
    <dxf>
      <border>
        <left style="thin">
          <color auto="1"/>
        </left>
        <right style="thin">
          <color auto="1"/>
        </right>
        <top style="thin">
          <color auto="1"/>
        </top>
        <bottom style="thin">
          <color auto="1"/>
        </bottom>
        <vertical/>
        <horizontal/>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0000"/>
      </font>
    </dxf>
    <dxf>
      <font>
        <color rgb="FFFF0000"/>
      </font>
    </dxf>
    <dxf>
      <font>
        <color rgb="FFFF0000"/>
      </font>
    </dxf>
    <dxf>
      <font>
        <color rgb="FFFF0000"/>
      </font>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
      <fill>
        <patternFill patternType="solid">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132716</xdr:colOff>
      <xdr:row>40</xdr:row>
      <xdr:rowOff>95249</xdr:rowOff>
    </xdr:from>
    <xdr:to>
      <xdr:col>6</xdr:col>
      <xdr:colOff>1051560</xdr:colOff>
      <xdr:row>58</xdr:row>
      <xdr:rowOff>691</xdr:rowOff>
    </xdr:to>
    <xdr:sp macro="" textlink="">
      <xdr:nvSpPr>
        <xdr:cNvPr id="2" name="Arrow: Curved Up 1">
          <a:extLst>
            <a:ext uri="{FF2B5EF4-FFF2-40B4-BE49-F238E27FC236}">
              <a16:creationId xmlns:a16="http://schemas.microsoft.com/office/drawing/2014/main" id="{3D0A0745-D3FA-49F2-9562-D0096EFFDD75}"/>
            </a:ext>
          </a:extLst>
        </xdr:cNvPr>
        <xdr:cNvSpPr/>
      </xdr:nvSpPr>
      <xdr:spPr>
        <a:xfrm rot="16200000">
          <a:off x="6463954" y="8642061"/>
          <a:ext cx="3401117" cy="2099944"/>
        </a:xfrm>
        <a:prstGeom prst="curvedUpArrow">
          <a:avLst>
            <a:gd name="adj1" fmla="val 12472"/>
            <a:gd name="adj2" fmla="val 43661"/>
            <a:gd name="adj3" fmla="val 1954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CA"/>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AFE3\Safe3Folders\69451\Desktop\2025%20recon\Testcopy%20v3%20%20DecV2%20-%202025%20FAIR%20%20CWELCC%20OTEF%20RECON%20Single%20Site%20-%20.xlsx" TargetMode="External"/><Relationship Id="rId1" Type="http://schemas.openxmlformats.org/officeDocument/2006/relationships/externalLinkPath" Target="file:///\\SAFE3\Safe3Folders\69451\Desktop\2025%20recon\Testcopy%20v3%20%20DecV2%20-%202025%20FAIR%20%20CWELCC%20OTEF%20RECON%20Single%20Site%20-%2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Human%20Services\HousingFinance\Financial%20Analysis%20&amp;%20Compliance\Housing%20Provider%20Reviews\Provider%20YE%20Reviews\Provider%20YE%20reconciliations\Provider%20YE%20starting%20in%202023\Juan\07%20Lom%20Nava%202023-24%20YE\AIR_Lom_Nava_2024.xlsm" TargetMode="External"/><Relationship Id="rId1" Type="http://schemas.openxmlformats.org/officeDocument/2006/relationships/externalLinkPath" Target="file:///K:\Human%20Services\HousingFinance\Financial%20Analysis%20&amp;%20Compliance\Housing%20Provider%20Reviews\Provider%20YE%20Reviews\Provider%20YE%20reconciliations\Provider%20YE%20starting%20in%202023\Juan\07%20Lom%20Nava%202023-24%20YE\AIR_Lom_Nava_20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1. Identification"/>
      <sheetName val="A2.Allocation &amp; Operating Plan"/>
      <sheetName val="A3. Peel Region Grants"/>
      <sheetName val="4. KPIs"/>
      <sheetName val="A5. Financial Position"/>
      <sheetName val="A6. Operations"/>
      <sheetName val="A7. 2025 CWELCC &amp; OTEF Recon"/>
      <sheetName val="A8. GovGrants input"/>
      <sheetName val="A9. SummaryOfReconciliations "/>
      <sheetName val="A11.Licensee's SFR&amp; Attestation"/>
      <sheetName val="A12. YND Reconciliation"/>
      <sheetName val="Hide -Financial Health Score"/>
      <sheetName val="Hide- CSV f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WUDFsStorage"/>
      <sheetName val="A1 - Identification"/>
      <sheetName val="A2 - Mgmt Reps"/>
      <sheetName val="A3 - Fin Position"/>
      <sheetName val="A4 - Operations"/>
      <sheetName val="A5 - NonShelter"/>
      <sheetName val="A6 - Cap Reserve"/>
      <sheetName val="A7-UAD"/>
      <sheetName val="A8 - Rents "/>
      <sheetName val="A9 - Part VII HSA Subsidy"/>
      <sheetName val="A10 - 100% RGI SHRA Subsidy"/>
      <sheetName val="B1 - Revenue and Expenses"/>
      <sheetName val="B2-Non-Shelter"/>
      <sheetName val="B3 - Federal Unit Activity MNP"/>
      <sheetName val="B4 - Federal Subsidy - S95MNP"/>
      <sheetName val="C1 - Statistical"/>
      <sheetName val="C2 - Access"/>
      <sheetName val="D1 - Operating Reserv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9ABF761-8635-49B5-ABB8-52216F9B3318}" name="Table13" displayName="Table13" ref="B20:D45" totalsRowCount="1" headerRowDxfId="27" dataDxfId="26" totalsRowDxfId="25" totalsRowBorderDxfId="24">
  <tableColumns count="3">
    <tableColumn id="1" xr3:uid="{03897965-07E2-4F53-AEFE-78CCBF3D6C4E}" name="EXPENSES " dataDxfId="22" totalsRowDxfId="23"/>
    <tableColumn id="2" xr3:uid="{AAE987F6-671F-4463-AFF4-CE2886E5BE6D}" name="Column1" dataDxfId="20" totalsRowDxfId="21"/>
    <tableColumn id="18" xr3:uid="{DBB174F4-13C7-40E9-8F23-B1B0BF5CA08E}" name="Amounts" dataDxfId="18" totalsRowDxfId="19"/>
  </tableColumns>
  <tableStyleInfo name="TableStyleMedium2"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eelregion.ca/business/early-years-child-care-providers/funding-support-resourc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E90FC-451B-49AA-B54A-BAB3CAE5A8D0}">
  <sheetPr>
    <tabColor theme="9" tint="0.59999389629810485"/>
  </sheetPr>
  <dimension ref="A1:S117"/>
  <sheetViews>
    <sheetView showGridLines="0" tabSelected="1" zoomScaleNormal="100" workbookViewId="0">
      <selection activeCell="D6" sqref="D6"/>
    </sheetView>
  </sheetViews>
  <sheetFormatPr defaultRowHeight="14.45"/>
  <cols>
    <col min="1" max="1" width="2.7109375" customWidth="1"/>
    <col min="2" max="2" width="46" customWidth="1"/>
    <col min="3" max="3" width="7.85546875" customWidth="1"/>
    <col min="4" max="4" width="58" customWidth="1"/>
    <col min="5" max="5" width="9" style="2" customWidth="1"/>
    <col min="6" max="6" width="9.140625" style="2" customWidth="1"/>
    <col min="7" max="7" width="29.7109375" style="2" customWidth="1"/>
    <col min="8" max="8" width="17" style="2" customWidth="1"/>
    <col min="9" max="9" width="9.42578125" style="2" customWidth="1"/>
    <col min="10" max="10" width="27.85546875" style="2" customWidth="1"/>
    <col min="11" max="11" width="15.28515625" style="2" customWidth="1"/>
    <col min="12" max="12" width="11.42578125" style="2" customWidth="1"/>
    <col min="13" max="18" width="9.140625" style="2" customWidth="1"/>
  </cols>
  <sheetData>
    <row r="1" spans="1:19" s="2" customFormat="1" ht="26.1">
      <c r="B1" s="989" t="s">
        <v>0</v>
      </c>
      <c r="C1" s="990"/>
      <c r="D1" s="990"/>
      <c r="E1" s="990"/>
      <c r="F1" s="990"/>
      <c r="G1" s="990"/>
      <c r="H1" s="990"/>
      <c r="I1" s="990"/>
      <c r="J1" s="991"/>
      <c r="K1" s="168" t="s">
        <v>1</v>
      </c>
      <c r="L1" s="107" t="str">
        <f>IF(D13=0, " ",$D$13)</f>
        <v xml:space="preserve"> </v>
      </c>
    </row>
    <row r="2" spans="1:19" s="2" customFormat="1" ht="26.45" thickBot="1">
      <c r="B2" s="992" t="s">
        <v>2</v>
      </c>
      <c r="C2" s="993"/>
      <c r="D2" s="993"/>
      <c r="E2" s="993"/>
      <c r="F2" s="993"/>
      <c r="G2" s="993"/>
      <c r="H2" s="993"/>
      <c r="I2" s="993"/>
      <c r="J2" s="994"/>
      <c r="K2" s="168" t="s">
        <v>3</v>
      </c>
      <c r="L2" s="107" t="str">
        <f>'A5. Operations'!L2</f>
        <v>Please enter Ministry licence number on tab A6 row 7</v>
      </c>
    </row>
    <row r="3" spans="1:19" s="2" customFormat="1" ht="14.45" customHeight="1" thickBot="1">
      <c r="G3"/>
      <c r="H3"/>
      <c r="I3"/>
      <c r="S3" s="2" t="s">
        <v>4</v>
      </c>
    </row>
    <row r="4" spans="1:19" s="2" customFormat="1" ht="18.600000000000001">
      <c r="B4" s="1002" t="s">
        <v>5</v>
      </c>
      <c r="C4" s="1003"/>
      <c r="D4" s="1003"/>
      <c r="E4" s="1004"/>
      <c r="I4"/>
      <c r="J4"/>
      <c r="K4"/>
      <c r="L4"/>
      <c r="M4"/>
      <c r="N4"/>
      <c r="O4"/>
      <c r="P4"/>
      <c r="Q4"/>
    </row>
    <row r="5" spans="1:19" s="2" customFormat="1">
      <c r="B5" s="167"/>
      <c r="D5" s="179"/>
      <c r="E5" s="180"/>
      <c r="I5"/>
      <c r="J5"/>
      <c r="K5"/>
      <c r="L5"/>
      <c r="M5"/>
      <c r="N5"/>
      <c r="O5"/>
      <c r="P5"/>
      <c r="Q5"/>
    </row>
    <row r="6" spans="1:19" ht="15.6">
      <c r="A6" s="2"/>
      <c r="B6" s="181" t="s">
        <v>6</v>
      </c>
      <c r="C6" s="182" t="s">
        <v>7</v>
      </c>
      <c r="D6" s="172"/>
      <c r="E6" s="180"/>
      <c r="I6"/>
      <c r="J6"/>
      <c r="K6"/>
      <c r="L6"/>
      <c r="M6"/>
      <c r="N6"/>
      <c r="O6"/>
      <c r="P6"/>
      <c r="Q6"/>
    </row>
    <row r="7" spans="1:19" ht="15.6">
      <c r="A7" s="2"/>
      <c r="B7" s="181" t="s">
        <v>8</v>
      </c>
      <c r="C7" s="182" t="s">
        <v>9</v>
      </c>
      <c r="D7" s="172"/>
      <c r="E7" s="180"/>
      <c r="F7"/>
      <c r="G7"/>
      <c r="I7"/>
      <c r="J7"/>
      <c r="K7"/>
      <c r="L7"/>
      <c r="M7"/>
      <c r="N7"/>
      <c r="O7"/>
      <c r="P7"/>
      <c r="Q7"/>
    </row>
    <row r="8" spans="1:19" ht="15.6">
      <c r="A8" s="2"/>
      <c r="B8" s="181" t="s">
        <v>10</v>
      </c>
      <c r="C8" s="182" t="s">
        <v>11</v>
      </c>
      <c r="D8" s="173"/>
      <c r="E8" s="51"/>
      <c r="F8"/>
      <c r="G8"/>
      <c r="H8"/>
      <c r="I8"/>
      <c r="J8"/>
      <c r="K8"/>
      <c r="L8"/>
      <c r="M8"/>
      <c r="N8"/>
      <c r="O8"/>
      <c r="P8"/>
      <c r="Q8"/>
    </row>
    <row r="9" spans="1:19" ht="15.6">
      <c r="A9" s="2"/>
      <c r="B9" s="181" t="s">
        <v>12</v>
      </c>
      <c r="C9" s="182" t="s">
        <v>13</v>
      </c>
      <c r="D9" s="172"/>
      <c r="E9" s="51"/>
      <c r="F9"/>
      <c r="G9"/>
      <c r="H9"/>
      <c r="I9"/>
      <c r="J9"/>
      <c r="K9"/>
      <c r="L9"/>
      <c r="M9"/>
      <c r="N9"/>
      <c r="O9"/>
      <c r="P9"/>
      <c r="Q9"/>
    </row>
    <row r="10" spans="1:19" ht="15.6">
      <c r="A10" s="2"/>
      <c r="B10" s="181" t="s">
        <v>14</v>
      </c>
      <c r="C10" s="182" t="s">
        <v>15</v>
      </c>
      <c r="D10" s="172"/>
      <c r="E10" s="51"/>
      <c r="F10"/>
      <c r="G10"/>
      <c r="H10"/>
      <c r="I10"/>
      <c r="J10"/>
      <c r="K10"/>
      <c r="L10"/>
      <c r="M10"/>
      <c r="N10"/>
      <c r="O10"/>
      <c r="P10"/>
      <c r="Q10"/>
    </row>
    <row r="11" spans="1:19" ht="15.6">
      <c r="A11" s="2"/>
      <c r="B11" s="181" t="s">
        <v>16</v>
      </c>
      <c r="C11" s="182" t="s">
        <v>17</v>
      </c>
      <c r="D11" s="298"/>
      <c r="E11" s="180"/>
      <c r="I11"/>
      <c r="J11"/>
      <c r="K11"/>
      <c r="L11"/>
      <c r="M11"/>
      <c r="N11"/>
      <c r="O11"/>
      <c r="P11"/>
      <c r="Q11"/>
    </row>
    <row r="12" spans="1:19" ht="15.6">
      <c r="A12" s="2"/>
      <c r="B12" s="181" t="s">
        <v>18</v>
      </c>
      <c r="C12" s="182" t="s">
        <v>19</v>
      </c>
      <c r="D12" s="298"/>
      <c r="E12" s="51"/>
      <c r="F12"/>
      <c r="G12"/>
      <c r="I12"/>
      <c r="J12"/>
      <c r="K12"/>
      <c r="L12"/>
      <c r="M12"/>
      <c r="N12"/>
      <c r="O12"/>
      <c r="P12"/>
      <c r="Q12"/>
    </row>
    <row r="13" spans="1:19" ht="15.6">
      <c r="A13" s="2"/>
      <c r="B13" s="185" t="s">
        <v>1</v>
      </c>
      <c r="C13" s="182" t="s">
        <v>20</v>
      </c>
      <c r="D13" s="817"/>
      <c r="E13" s="180"/>
      <c r="I13"/>
      <c r="J13"/>
      <c r="K13"/>
      <c r="L13"/>
      <c r="M13"/>
      <c r="N13"/>
      <c r="O13"/>
      <c r="P13"/>
      <c r="Q13"/>
    </row>
    <row r="14" spans="1:19" ht="15.6">
      <c r="A14" s="2"/>
      <c r="B14" s="181" t="s">
        <v>21</v>
      </c>
      <c r="C14" s="182" t="s">
        <v>22</v>
      </c>
      <c r="D14" s="172"/>
      <c r="E14" s="180"/>
      <c r="I14"/>
      <c r="J14"/>
      <c r="K14"/>
      <c r="L14"/>
      <c r="M14"/>
      <c r="N14"/>
      <c r="O14"/>
      <c r="P14"/>
      <c r="Q14"/>
    </row>
    <row r="15" spans="1:19" ht="15.6">
      <c r="A15" s="2"/>
      <c r="B15" s="181" t="s">
        <v>23</v>
      </c>
      <c r="C15" s="182" t="s">
        <v>24</v>
      </c>
      <c r="D15" s="818"/>
      <c r="E15" s="180"/>
      <c r="I15"/>
      <c r="J15"/>
      <c r="K15"/>
      <c r="L15"/>
      <c r="M15"/>
      <c r="N15"/>
      <c r="O15"/>
      <c r="P15"/>
      <c r="Q15"/>
    </row>
    <row r="16" spans="1:19" ht="15.6">
      <c r="A16" s="2"/>
      <c r="B16" s="181" t="s">
        <v>25</v>
      </c>
      <c r="C16" s="182" t="s">
        <v>26</v>
      </c>
      <c r="D16" s="683"/>
      <c r="E16" s="180"/>
      <c r="I16"/>
      <c r="J16"/>
      <c r="K16"/>
      <c r="L16"/>
      <c r="M16"/>
      <c r="N16"/>
      <c r="O16"/>
      <c r="P16"/>
      <c r="Q16"/>
    </row>
    <row r="17" spans="1:17" ht="15.6">
      <c r="A17" s="2"/>
      <c r="B17" s="181" t="s">
        <v>27</v>
      </c>
      <c r="C17" s="182" t="s">
        <v>28</v>
      </c>
      <c r="D17" s="172"/>
      <c r="E17" s="180"/>
      <c r="I17"/>
      <c r="J17"/>
      <c r="K17"/>
      <c r="L17"/>
      <c r="M17"/>
      <c r="N17"/>
      <c r="O17"/>
      <c r="P17"/>
      <c r="Q17"/>
    </row>
    <row r="18" spans="1:17" ht="15" thickBot="1">
      <c r="A18" s="2"/>
      <c r="B18" s="167"/>
      <c r="C18" s="2"/>
      <c r="D18" s="2"/>
      <c r="E18" s="180"/>
      <c r="I18"/>
      <c r="J18"/>
      <c r="K18"/>
      <c r="L18"/>
      <c r="M18"/>
      <c r="N18"/>
      <c r="O18"/>
      <c r="P18"/>
      <c r="Q18"/>
    </row>
    <row r="19" spans="1:17" ht="18.95" thickBot="1">
      <c r="A19" s="2"/>
      <c r="B19" s="1036" t="s">
        <v>29</v>
      </c>
      <c r="C19" s="1037"/>
      <c r="D19" s="1037"/>
      <c r="E19" s="1038"/>
      <c r="I19"/>
      <c r="J19"/>
      <c r="K19"/>
      <c r="L19"/>
      <c r="M19"/>
      <c r="N19"/>
      <c r="O19"/>
      <c r="P19"/>
      <c r="Q19"/>
    </row>
    <row r="20" spans="1:17" ht="15" thickBot="1">
      <c r="A20" s="2"/>
      <c r="B20" s="186"/>
      <c r="C20" s="165" t="str">
        <f>IF(AND(D17="",'A5. Operations'!F7=""),"WARNING: Signing Officer and License Number are needed to complete attestation.","")</f>
        <v>WARNING: Signing Officer and License Number are needed to complete attestation.</v>
      </c>
      <c r="D20" s="166"/>
      <c r="E20" s="180"/>
      <c r="I20"/>
      <c r="J20"/>
      <c r="K20"/>
      <c r="L20"/>
      <c r="M20"/>
      <c r="N20"/>
      <c r="O20"/>
      <c r="P20"/>
      <c r="Q20"/>
    </row>
    <row r="21" spans="1:17" ht="15" customHeight="1">
      <c r="A21" s="2"/>
      <c r="B21" s="187" t="s">
        <v>30</v>
      </c>
      <c r="C21" s="1005" t="str">
        <f>IF(D17="","","I, "&amp;D17&amp;", confirm that:")</f>
        <v/>
      </c>
      <c r="D21" s="1006"/>
      <c r="E21" s="180"/>
      <c r="G21"/>
      <c r="I21"/>
      <c r="J21"/>
      <c r="K21"/>
      <c r="L21"/>
      <c r="M21"/>
      <c r="N21"/>
      <c r="O21"/>
      <c r="P21"/>
      <c r="Q21"/>
    </row>
    <row r="22" spans="1:17" ht="17.25" customHeight="1">
      <c r="A22" s="2"/>
      <c r="B22" s="73"/>
      <c r="C22" s="1007" t="str">
        <f>'A11.Licensee''s SFR&amp; Attestation'!C86</f>
        <v/>
      </c>
      <c r="D22" s="1008"/>
      <c r="E22" s="180"/>
      <c r="F22"/>
      <c r="G22"/>
      <c r="H22"/>
    </row>
    <row r="23" spans="1:17" ht="69" customHeight="1">
      <c r="A23" s="2"/>
      <c r="B23" s="73"/>
      <c r="C23" s="1009" t="str">
        <f>IF(D17="","","The information contained in this excel workbook for the reporting year 2025 is accurate and a true reflection of the eligible costs incurred by the licensee for which cost-based funding was used.")</f>
        <v/>
      </c>
      <c r="D23" s="1010"/>
      <c r="E23" s="180"/>
      <c r="F23"/>
      <c r="G23"/>
      <c r="H23"/>
    </row>
    <row r="24" spans="1:17" ht="50.25" customHeight="1" thickBot="1">
      <c r="A24" s="2"/>
      <c r="B24" s="73"/>
      <c r="C24" s="1011" t="str">
        <f>'A11.Licensee''s SFR&amp; Attestation'!C88</f>
        <v/>
      </c>
      <c r="D24" s="1012"/>
      <c r="E24" s="180"/>
      <c r="F24"/>
      <c r="G24"/>
      <c r="H24" s="6"/>
      <c r="I24"/>
    </row>
    <row r="25" spans="1:17" ht="15.6">
      <c r="A25" s="2"/>
      <c r="B25" s="73"/>
      <c r="C25" s="13"/>
      <c r="D25" s="188"/>
      <c r="E25" s="180"/>
      <c r="F25"/>
      <c r="G25"/>
      <c r="H25" s="161"/>
      <c r="I25"/>
      <c r="J25"/>
    </row>
    <row r="26" spans="1:17" ht="15.6">
      <c r="A26" s="2"/>
      <c r="B26" s="189" t="s">
        <v>31</v>
      </c>
      <c r="C26" s="182" t="s">
        <v>32</v>
      </c>
      <c r="D26" s="305"/>
      <c r="E26" s="51"/>
      <c r="F26"/>
      <c r="G26"/>
      <c r="H26"/>
      <c r="I26"/>
    </row>
    <row r="27" spans="1:17" ht="15.6">
      <c r="A27" s="2"/>
      <c r="B27" s="190"/>
      <c r="C27" s="13"/>
      <c r="D27" s="82"/>
      <c r="E27" s="191"/>
      <c r="F27" s="162"/>
      <c r="G27" s="163"/>
      <c r="H27" s="163"/>
      <c r="I27" s="192"/>
    </row>
    <row r="28" spans="1:17" ht="15.6">
      <c r="A28" s="2"/>
      <c r="B28" s="189" t="s">
        <v>33</v>
      </c>
      <c r="C28" s="182" t="s">
        <v>34</v>
      </c>
      <c r="D28" s="306"/>
      <c r="E28" s="191"/>
      <c r="F28" s="164"/>
      <c r="G28" s="163"/>
      <c r="H28" s="163"/>
      <c r="I28" s="192"/>
    </row>
    <row r="29" spans="1:17" ht="15.6">
      <c r="A29" s="2"/>
      <c r="B29" s="190"/>
      <c r="C29" s="13"/>
      <c r="D29" s="13"/>
      <c r="E29" s="191"/>
      <c r="F29" s="163"/>
      <c r="G29" s="163"/>
      <c r="H29" s="163"/>
      <c r="I29" s="192"/>
    </row>
    <row r="30" spans="1:17" ht="15" thickBot="1">
      <c r="A30" s="2"/>
      <c r="B30" s="193"/>
      <c r="C30" s="194"/>
      <c r="D30" s="194"/>
      <c r="E30" s="195"/>
      <c r="F30" s="164"/>
      <c r="G30" s="164"/>
      <c r="H30" s="164"/>
      <c r="I30" s="192"/>
    </row>
    <row r="31" spans="1:17" ht="15" thickBot="1">
      <c r="A31" s="2"/>
      <c r="E31" s="7"/>
      <c r="F31" s="164"/>
      <c r="G31" s="164"/>
      <c r="H31" s="164"/>
      <c r="I31" s="192"/>
    </row>
    <row r="32" spans="1:17" ht="21" customHeight="1" thickBot="1">
      <c r="A32" s="2"/>
      <c r="B32" s="692" t="s">
        <v>35</v>
      </c>
      <c r="C32" s="1025" t="s">
        <v>36</v>
      </c>
      <c r="D32" s="1026"/>
      <c r="E32" s="1027"/>
      <c r="F32" s="164"/>
      <c r="H32" s="164"/>
      <c r="I32" s="192"/>
    </row>
    <row r="33" spans="1:13">
      <c r="A33" s="2"/>
      <c r="E33" s="7"/>
      <c r="F33" s="164"/>
      <c r="G33" s="164"/>
      <c r="H33" s="164"/>
      <c r="I33" s="192"/>
    </row>
    <row r="34" spans="1:13" ht="15" thickBot="1">
      <c r="A34" s="2"/>
      <c r="C34" s="196"/>
      <c r="D34" s="2"/>
    </row>
    <row r="35" spans="1:13" s="2" customFormat="1" ht="17.45" customHeight="1" thickBot="1">
      <c r="A35" s="183"/>
      <c r="B35" s="1045" t="s">
        <v>37</v>
      </c>
      <c r="C35" s="1046"/>
      <c r="D35" s="1046"/>
      <c r="E35" s="163"/>
    </row>
    <row r="36" spans="1:13" s="2" customFormat="1" ht="15" customHeight="1">
      <c r="A36" s="183"/>
      <c r="B36" s="183"/>
    </row>
    <row r="37" spans="1:13" s="2" customFormat="1" ht="20.25" customHeight="1">
      <c r="A37" s="183"/>
      <c r="B37" s="998" t="s">
        <v>38</v>
      </c>
      <c r="C37" s="998"/>
      <c r="D37" s="197" t="s">
        <v>39</v>
      </c>
      <c r="E37" s="998" t="s">
        <v>40</v>
      </c>
      <c r="F37" s="998"/>
      <c r="G37" s="998"/>
      <c r="H37" s="998"/>
      <c r="I37" s="998"/>
      <c r="J37" s="998"/>
      <c r="K37" s="998"/>
      <c r="L37" s="998"/>
      <c r="M37" s="998"/>
    </row>
    <row r="38" spans="1:13" s="2" customFormat="1" ht="47.25" customHeight="1">
      <c r="A38" s="183"/>
      <c r="B38" s="1029" t="s">
        <v>41</v>
      </c>
      <c r="C38" s="1029"/>
      <c r="D38" s="198" t="s">
        <v>42</v>
      </c>
      <c r="E38" s="995" t="s">
        <v>43</v>
      </c>
      <c r="F38" s="996"/>
      <c r="G38" s="996"/>
      <c r="H38" s="996"/>
      <c r="I38" s="996"/>
      <c r="J38" s="996"/>
      <c r="K38" s="996"/>
      <c r="L38" s="996"/>
      <c r="M38" s="997"/>
    </row>
    <row r="39" spans="1:13" s="2" customFormat="1" ht="33.75" customHeight="1">
      <c r="A39" s="183"/>
      <c r="B39" s="1018" t="s">
        <v>44</v>
      </c>
      <c r="C39" s="1019"/>
      <c r="D39" s="1015" t="s">
        <v>42</v>
      </c>
      <c r="E39" s="1047" t="s">
        <v>45</v>
      </c>
      <c r="F39" s="1048"/>
      <c r="G39" s="1048"/>
      <c r="H39" s="1048"/>
      <c r="I39" s="1048"/>
      <c r="J39" s="1048"/>
      <c r="K39" s="1048"/>
      <c r="L39" s="1048"/>
      <c r="M39" s="1049"/>
    </row>
    <row r="40" spans="1:13" s="2" customFormat="1" ht="16.5" customHeight="1">
      <c r="A40" s="183"/>
      <c r="B40" s="1020"/>
      <c r="C40" s="1021"/>
      <c r="D40" s="1016"/>
      <c r="E40" s="1050"/>
      <c r="F40" s="1051"/>
      <c r="G40" s="1051"/>
      <c r="H40" s="1051"/>
      <c r="I40" s="1051"/>
      <c r="J40" s="1051"/>
      <c r="K40" s="1051"/>
      <c r="L40" s="1051"/>
      <c r="M40" s="1052"/>
    </row>
    <row r="41" spans="1:13" s="2" customFormat="1" ht="3.75" customHeight="1">
      <c r="A41" s="183"/>
      <c r="B41" s="1022"/>
      <c r="C41" s="1023"/>
      <c r="D41" s="1017"/>
      <c r="E41" s="1053"/>
      <c r="F41" s="1054"/>
      <c r="G41" s="1054"/>
      <c r="H41" s="1054"/>
      <c r="I41" s="1054"/>
      <c r="J41" s="1054"/>
      <c r="K41" s="1054"/>
      <c r="L41" s="1054"/>
      <c r="M41" s="1055"/>
    </row>
    <row r="42" spans="1:13" s="201" customFormat="1" ht="52.5" hidden="1" customHeight="1">
      <c r="A42" s="199"/>
      <c r="B42" s="1024" t="s">
        <v>46</v>
      </c>
      <c r="C42" s="1024"/>
      <c r="D42" s="200" t="s">
        <v>42</v>
      </c>
      <c r="E42" s="995" t="s">
        <v>47</v>
      </c>
      <c r="F42" s="996"/>
      <c r="G42" s="996"/>
      <c r="H42" s="996"/>
      <c r="I42" s="996"/>
      <c r="J42" s="996"/>
      <c r="K42" s="996"/>
      <c r="L42" s="996"/>
      <c r="M42" s="997"/>
    </row>
    <row r="43" spans="1:13" s="201" customFormat="1" ht="32.25" customHeight="1">
      <c r="A43" s="199"/>
      <c r="B43" s="1024" t="s">
        <v>48</v>
      </c>
      <c r="C43" s="1024"/>
      <c r="D43" s="200" t="s">
        <v>42</v>
      </c>
      <c r="E43" s="995" t="s">
        <v>49</v>
      </c>
      <c r="F43" s="996"/>
      <c r="G43" s="996"/>
      <c r="H43" s="996"/>
      <c r="I43" s="996"/>
      <c r="J43" s="996"/>
      <c r="K43" s="996"/>
      <c r="L43" s="996"/>
      <c r="M43" s="997"/>
    </row>
    <row r="44" spans="1:13" s="201" customFormat="1" ht="32.25" customHeight="1">
      <c r="A44" s="199"/>
      <c r="B44" s="1024" t="s">
        <v>50</v>
      </c>
      <c r="C44" s="1024"/>
      <c r="D44" s="200" t="s">
        <v>42</v>
      </c>
      <c r="E44" s="995" t="s">
        <v>51</v>
      </c>
      <c r="F44" s="996"/>
      <c r="G44" s="996"/>
      <c r="H44" s="996"/>
      <c r="I44" s="996"/>
      <c r="J44" s="996"/>
      <c r="K44" s="996"/>
      <c r="L44" s="996"/>
      <c r="M44" s="997"/>
    </row>
    <row r="45" spans="1:13" s="201" customFormat="1" ht="38.450000000000003" customHeight="1">
      <c r="A45" s="199"/>
      <c r="B45" s="1024" t="s">
        <v>52</v>
      </c>
      <c r="C45" s="1024"/>
      <c r="D45" s="200" t="s">
        <v>42</v>
      </c>
      <c r="E45" s="995" t="s">
        <v>53</v>
      </c>
      <c r="F45" s="996"/>
      <c r="G45" s="996"/>
      <c r="H45" s="996"/>
      <c r="I45" s="996"/>
      <c r="J45" s="996"/>
      <c r="K45" s="996"/>
      <c r="L45" s="996"/>
      <c r="M45" s="997"/>
    </row>
    <row r="46" spans="1:13" s="201" customFormat="1" ht="32.25" hidden="1" customHeight="1">
      <c r="A46" s="199"/>
      <c r="B46" s="1035" t="s">
        <v>54</v>
      </c>
      <c r="C46" s="1035"/>
      <c r="D46" s="202" t="s">
        <v>55</v>
      </c>
      <c r="E46" s="995" t="s">
        <v>56</v>
      </c>
      <c r="F46" s="996"/>
      <c r="G46" s="996"/>
      <c r="H46" s="996"/>
      <c r="I46" s="996"/>
      <c r="J46" s="996"/>
      <c r="K46" s="996"/>
      <c r="L46" s="996"/>
      <c r="M46" s="997"/>
    </row>
    <row r="47" spans="1:13" s="201" customFormat="1" ht="39.75" hidden="1" customHeight="1">
      <c r="A47" s="199"/>
      <c r="B47" s="1035" t="s">
        <v>57</v>
      </c>
      <c r="C47" s="1035"/>
      <c r="D47" s="202" t="s">
        <v>55</v>
      </c>
      <c r="E47" s="995" t="s">
        <v>58</v>
      </c>
      <c r="F47" s="996"/>
      <c r="G47" s="996"/>
      <c r="H47" s="996"/>
      <c r="I47" s="996"/>
      <c r="J47" s="996"/>
      <c r="K47" s="996"/>
      <c r="L47" s="996"/>
      <c r="M47" s="997"/>
    </row>
    <row r="48" spans="1:13" s="204" customFormat="1" ht="54.75" hidden="1" customHeight="1">
      <c r="A48" s="203"/>
      <c r="B48" s="1030" t="s">
        <v>59</v>
      </c>
      <c r="C48" s="1031"/>
      <c r="D48" s="202" t="s">
        <v>60</v>
      </c>
      <c r="E48" s="1032" t="s">
        <v>61</v>
      </c>
      <c r="F48" s="1033"/>
      <c r="G48" s="1033"/>
      <c r="H48" s="1033"/>
      <c r="I48" s="1033"/>
      <c r="J48" s="1033"/>
      <c r="K48" s="1033"/>
      <c r="L48" s="1033"/>
      <c r="M48" s="1034"/>
    </row>
    <row r="49" spans="1:18" s="204" customFormat="1" ht="54.75" hidden="1" customHeight="1">
      <c r="A49" s="203"/>
      <c r="B49" s="1030" t="s">
        <v>62</v>
      </c>
      <c r="C49" s="1031"/>
      <c r="D49" s="202" t="s">
        <v>63</v>
      </c>
      <c r="E49" s="1032" t="s">
        <v>64</v>
      </c>
      <c r="F49" s="1033"/>
      <c r="G49" s="1033"/>
      <c r="H49" s="1033"/>
      <c r="I49" s="1033"/>
      <c r="J49" s="1033"/>
      <c r="K49" s="1033"/>
      <c r="L49" s="1033"/>
      <c r="M49" s="1034"/>
    </row>
    <row r="50" spans="1:18" s="204" customFormat="1" ht="39" hidden="1" customHeight="1">
      <c r="A50" s="203"/>
      <c r="B50" s="1013" t="s">
        <v>65</v>
      </c>
      <c r="C50" s="1014"/>
      <c r="D50" s="205" t="s">
        <v>63</v>
      </c>
      <c r="E50" s="1039" t="s">
        <v>66</v>
      </c>
      <c r="F50" s="1040"/>
      <c r="G50" s="1040"/>
      <c r="H50" s="1040"/>
      <c r="I50" s="1040"/>
      <c r="J50" s="1040"/>
      <c r="K50" s="1040"/>
      <c r="L50" s="1040"/>
      <c r="M50" s="1041"/>
    </row>
    <row r="51" spans="1:18" s="204" customFormat="1" ht="39" hidden="1" customHeight="1">
      <c r="A51" s="203"/>
      <c r="B51" s="1013" t="s">
        <v>67</v>
      </c>
      <c r="C51" s="1014"/>
      <c r="D51" s="205" t="s">
        <v>63</v>
      </c>
      <c r="E51" s="1042"/>
      <c r="F51" s="1043"/>
      <c r="G51" s="1043"/>
      <c r="H51" s="1043"/>
      <c r="I51" s="1043"/>
      <c r="J51" s="1043"/>
      <c r="K51" s="1043"/>
      <c r="L51" s="1043"/>
      <c r="M51" s="1044"/>
    </row>
    <row r="52" spans="1:18">
      <c r="A52" s="184"/>
      <c r="B52" s="184"/>
      <c r="N52"/>
      <c r="O52"/>
      <c r="P52"/>
      <c r="Q52"/>
      <c r="R52"/>
    </row>
    <row r="53" spans="1:18" ht="15" thickBot="1">
      <c r="A53" s="184"/>
      <c r="B53" s="184"/>
      <c r="N53"/>
      <c r="O53"/>
      <c r="P53"/>
      <c r="Q53"/>
      <c r="R53"/>
    </row>
    <row r="54" spans="1:18" ht="18.95" thickBot="1">
      <c r="B54" s="999" t="s">
        <v>68</v>
      </c>
      <c r="C54" s="1000"/>
      <c r="D54" s="1001"/>
      <c r="E54"/>
      <c r="F54"/>
      <c r="G54"/>
      <c r="H54"/>
      <c r="I54"/>
      <c r="J54"/>
      <c r="K54"/>
      <c r="L54"/>
      <c r="M54"/>
      <c r="N54"/>
      <c r="O54"/>
      <c r="P54"/>
      <c r="Q54"/>
    </row>
    <row r="55" spans="1:18">
      <c r="A55" s="2"/>
      <c r="B55" s="2"/>
      <c r="C55" s="2"/>
      <c r="D55" s="179"/>
      <c r="H55" s="6"/>
      <c r="I55"/>
      <c r="J55"/>
      <c r="K55"/>
      <c r="L55"/>
      <c r="M55"/>
      <c r="N55"/>
      <c r="O55"/>
      <c r="P55"/>
      <c r="Q55"/>
    </row>
    <row r="56" spans="1:18">
      <c r="A56" s="2"/>
      <c r="B56" s="196" t="s">
        <v>69</v>
      </c>
      <c r="C56" s="2"/>
      <c r="D56" s="179"/>
      <c r="E56"/>
      <c r="F56"/>
      <c r="H56"/>
      <c r="I56"/>
      <c r="J56"/>
    </row>
    <row r="57" spans="1:18">
      <c r="A57" s="2"/>
      <c r="B57" s="2"/>
      <c r="C57" s="2"/>
      <c r="D57" s="179"/>
      <c r="E57"/>
      <c r="F57"/>
      <c r="G57"/>
      <c r="H57"/>
      <c r="I57"/>
      <c r="J57"/>
    </row>
    <row r="58" spans="1:18">
      <c r="A58" s="2"/>
      <c r="B58" s="206" t="s">
        <v>70</v>
      </c>
      <c r="C58" s="1028"/>
      <c r="D58" s="1028"/>
      <c r="E58"/>
      <c r="F58"/>
      <c r="G58"/>
      <c r="H58"/>
      <c r="I58"/>
      <c r="J58"/>
    </row>
    <row r="59" spans="1:18">
      <c r="A59" s="2"/>
      <c r="B59" s="207" t="s">
        <v>71</v>
      </c>
      <c r="C59" s="208" t="s">
        <v>72</v>
      </c>
      <c r="D59" s="209"/>
      <c r="E59"/>
      <c r="F59"/>
      <c r="G59"/>
      <c r="H59"/>
      <c r="I59"/>
      <c r="J59"/>
    </row>
    <row r="60" spans="1:18">
      <c r="A60" s="184"/>
      <c r="B60" s="184"/>
      <c r="E60"/>
      <c r="F60"/>
      <c r="H60"/>
      <c r="I60"/>
      <c r="J60"/>
      <c r="N60"/>
      <c r="O60"/>
      <c r="P60"/>
      <c r="Q60"/>
      <c r="R60"/>
    </row>
    <row r="61" spans="1:18">
      <c r="A61" s="184"/>
      <c r="B61" s="184"/>
      <c r="N61"/>
      <c r="O61"/>
      <c r="P61"/>
      <c r="Q61"/>
      <c r="R61"/>
    </row>
    <row r="62" spans="1:18">
      <c r="A62" s="184"/>
      <c r="B62" s="184"/>
    </row>
    <row r="63" spans="1:18">
      <c r="A63" s="184"/>
      <c r="B63" s="184"/>
      <c r="D63" s="184"/>
    </row>
    <row r="64" spans="1:18">
      <c r="A64" s="184"/>
      <c r="B64" s="184"/>
    </row>
    <row r="65" spans="1:9">
      <c r="A65" s="184"/>
      <c r="B65" s="184"/>
    </row>
    <row r="66" spans="1:9">
      <c r="A66" s="184"/>
      <c r="B66" s="184"/>
      <c r="E66"/>
      <c r="F66"/>
      <c r="G66"/>
      <c r="H66"/>
      <c r="I66"/>
    </row>
    <row r="67" spans="1:9">
      <c r="A67" s="184"/>
      <c r="B67" s="184"/>
      <c r="E67" s="210"/>
      <c r="F67" s="210"/>
      <c r="G67" s="210"/>
      <c r="H67" s="210"/>
      <c r="I67"/>
    </row>
    <row r="68" spans="1:9">
      <c r="A68" s="184"/>
      <c r="B68" s="184"/>
      <c r="E68"/>
      <c r="F68"/>
      <c r="G68"/>
      <c r="H68"/>
      <c r="I68"/>
    </row>
    <row r="69" spans="1:9">
      <c r="A69" s="184"/>
      <c r="B69" s="184"/>
      <c r="E69"/>
      <c r="F69"/>
      <c r="G69"/>
      <c r="H69"/>
      <c r="I69"/>
    </row>
    <row r="70" spans="1:9">
      <c r="A70" s="184"/>
      <c r="B70" s="184"/>
      <c r="E70"/>
      <c r="F70"/>
      <c r="G70"/>
      <c r="H70"/>
      <c r="I70"/>
    </row>
    <row r="71" spans="1:9">
      <c r="A71" s="184"/>
      <c r="B71" s="184"/>
      <c r="E71"/>
      <c r="F71"/>
      <c r="G71"/>
      <c r="H71"/>
      <c r="I71"/>
    </row>
    <row r="72" spans="1:9">
      <c r="A72" s="184"/>
      <c r="B72" s="184"/>
      <c r="E72"/>
      <c r="F72"/>
      <c r="G72"/>
      <c r="H72"/>
      <c r="I72"/>
    </row>
    <row r="73" spans="1:9">
      <c r="A73" s="184"/>
      <c r="B73" s="184"/>
      <c r="E73"/>
      <c r="F73"/>
      <c r="G73"/>
      <c r="H73"/>
      <c r="I73"/>
    </row>
    <row r="74" spans="1:9">
      <c r="A74" s="184"/>
      <c r="B74" s="211"/>
      <c r="C74" s="211"/>
      <c r="D74" s="211"/>
    </row>
    <row r="75" spans="1:9">
      <c r="A75" s="184"/>
      <c r="B75" s="211"/>
      <c r="C75" s="211"/>
      <c r="D75" s="211"/>
    </row>
    <row r="76" spans="1:9">
      <c r="A76" s="184"/>
      <c r="B76" s="184"/>
      <c r="C76" s="184"/>
      <c r="D76" s="184"/>
      <c r="E76" s="183"/>
      <c r="F76" s="183"/>
    </row>
    <row r="77" spans="1:9">
      <c r="A77" s="184"/>
      <c r="B77" s="184"/>
      <c r="C77" s="184"/>
      <c r="E77" s="183"/>
      <c r="F77" s="183"/>
    </row>
    <row r="78" spans="1:9">
      <c r="A78" s="184"/>
      <c r="B78" s="184"/>
      <c r="C78" s="184"/>
      <c r="D78" s="184"/>
      <c r="E78" s="183"/>
      <c r="F78" s="183"/>
    </row>
    <row r="79" spans="1:9">
      <c r="A79" s="184"/>
      <c r="B79" s="184"/>
      <c r="C79" s="184"/>
      <c r="D79" s="184"/>
      <c r="E79" s="183"/>
      <c r="F79" s="183"/>
    </row>
    <row r="80" spans="1:9">
      <c r="A80" s="184"/>
      <c r="B80" s="184"/>
      <c r="C80" s="184"/>
      <c r="D80" s="184"/>
      <c r="E80" s="183"/>
      <c r="F80" s="183"/>
    </row>
    <row r="81" spans="1:6">
      <c r="A81" s="184"/>
      <c r="B81" s="184"/>
      <c r="C81" s="184"/>
      <c r="D81" s="184"/>
      <c r="E81" s="183"/>
      <c r="F81" s="183"/>
    </row>
    <row r="82" spans="1:6">
      <c r="A82" s="184"/>
      <c r="B82" s="184"/>
      <c r="C82" s="184"/>
      <c r="D82" s="184"/>
      <c r="E82" s="183"/>
      <c r="F82" s="183"/>
    </row>
    <row r="83" spans="1:6">
      <c r="A83" s="184"/>
      <c r="B83" s="184"/>
      <c r="C83" s="184"/>
      <c r="D83" s="184"/>
      <c r="E83" s="183"/>
      <c r="F83" s="183"/>
    </row>
    <row r="84" spans="1:6">
      <c r="A84" s="184"/>
      <c r="B84" s="184"/>
      <c r="C84" s="184"/>
      <c r="D84" s="184"/>
      <c r="E84" s="183"/>
      <c r="F84" s="183"/>
    </row>
    <row r="85" spans="1:6">
      <c r="A85" s="184"/>
      <c r="B85" s="184"/>
      <c r="C85" s="184"/>
      <c r="D85" s="184"/>
      <c r="E85" s="183"/>
      <c r="F85" s="183"/>
    </row>
    <row r="86" spans="1:6">
      <c r="A86" s="184"/>
      <c r="B86" s="211" t="s">
        <v>73</v>
      </c>
      <c r="C86" s="211"/>
      <c r="D86" s="211"/>
      <c r="E86" s="183"/>
      <c r="F86" s="183"/>
    </row>
    <row r="87" spans="1:6">
      <c r="A87" s="184"/>
      <c r="B87" s="211"/>
      <c r="C87" s="211"/>
      <c r="D87" s="211"/>
      <c r="E87" s="183"/>
      <c r="F87" s="183"/>
    </row>
    <row r="88" spans="1:6">
      <c r="A88" s="184"/>
      <c r="B88" s="211"/>
      <c r="C88" s="211"/>
      <c r="D88" s="211"/>
      <c r="E88" s="183"/>
      <c r="F88" s="183"/>
    </row>
    <row r="89" spans="1:6">
      <c r="A89" s="184"/>
      <c r="B89" s="211" t="s">
        <v>74</v>
      </c>
      <c r="C89" s="211" t="s">
        <v>75</v>
      </c>
      <c r="D89" s="211"/>
      <c r="E89" s="183"/>
      <c r="F89" s="183"/>
    </row>
    <row r="90" spans="1:6">
      <c r="A90" s="184"/>
      <c r="B90" s="211" t="s">
        <v>76</v>
      </c>
      <c r="C90" s="211" t="s">
        <v>77</v>
      </c>
      <c r="D90" s="211"/>
      <c r="E90" s="183"/>
      <c r="F90" s="183"/>
    </row>
    <row r="91" spans="1:6">
      <c r="A91" s="184"/>
      <c r="B91" s="211" t="s">
        <v>78</v>
      </c>
      <c r="C91" s="211" t="s">
        <v>79</v>
      </c>
      <c r="D91" s="211"/>
      <c r="E91" s="183"/>
      <c r="F91" s="183"/>
    </row>
    <row r="92" spans="1:6">
      <c r="A92" s="184"/>
      <c r="B92" s="211"/>
      <c r="C92" s="211"/>
      <c r="D92" s="211"/>
      <c r="E92" s="183"/>
      <c r="F92" s="183"/>
    </row>
    <row r="93" spans="1:6">
      <c r="A93" s="184"/>
      <c r="B93" s="212"/>
      <c r="C93" s="211"/>
      <c r="D93" s="211"/>
      <c r="E93" s="183"/>
      <c r="F93" s="183"/>
    </row>
    <row r="94" spans="1:6">
      <c r="A94" s="184"/>
      <c r="B94" s="212" t="s">
        <v>80</v>
      </c>
      <c r="C94" s="211" t="s">
        <v>81</v>
      </c>
      <c r="D94" s="211"/>
      <c r="E94" s="183"/>
      <c r="F94" s="183"/>
    </row>
    <row r="95" spans="1:6">
      <c r="A95" s="184"/>
      <c r="B95" s="212" t="s">
        <v>82</v>
      </c>
      <c r="C95" s="211" t="s">
        <v>83</v>
      </c>
      <c r="D95" s="211"/>
      <c r="E95" s="183"/>
      <c r="F95" s="183"/>
    </row>
    <row r="96" spans="1:6">
      <c r="A96" s="184"/>
      <c r="B96" s="212" t="s">
        <v>84</v>
      </c>
      <c r="C96" s="211" t="s">
        <v>83</v>
      </c>
      <c r="D96" s="211"/>
      <c r="E96" s="183"/>
      <c r="F96" s="183"/>
    </row>
    <row r="97" spans="1:18">
      <c r="A97" s="184"/>
      <c r="B97" s="212" t="s">
        <v>85</v>
      </c>
      <c r="C97" s="211" t="s">
        <v>86</v>
      </c>
      <c r="D97" s="211"/>
      <c r="E97" s="183"/>
      <c r="F97" s="183"/>
    </row>
    <row r="98" spans="1:18">
      <c r="A98" s="184"/>
      <c r="B98" s="212" t="s">
        <v>87</v>
      </c>
      <c r="C98" s="211" t="s">
        <v>88</v>
      </c>
      <c r="D98" s="211"/>
      <c r="E98" s="183"/>
      <c r="F98" s="183"/>
    </row>
    <row r="99" spans="1:18">
      <c r="A99" s="184"/>
      <c r="B99" s="212"/>
      <c r="C99" s="211"/>
      <c r="D99" s="211"/>
      <c r="E99" s="183"/>
      <c r="F99" s="183"/>
    </row>
    <row r="100" spans="1:18" s="211" customFormat="1">
      <c r="A100" s="184"/>
      <c r="B100" s="212" t="s">
        <v>89</v>
      </c>
      <c r="E100" s="183"/>
      <c r="F100" s="183"/>
      <c r="G100" s="213"/>
      <c r="H100" s="213"/>
      <c r="I100" s="213"/>
      <c r="J100" s="213"/>
      <c r="K100" s="213"/>
      <c r="L100" s="213"/>
      <c r="M100" s="213"/>
      <c r="N100" s="213"/>
      <c r="O100" s="213"/>
      <c r="P100" s="213"/>
      <c r="Q100" s="213"/>
      <c r="R100" s="213"/>
    </row>
    <row r="101" spans="1:18" s="211" customFormat="1">
      <c r="A101" s="184"/>
      <c r="B101" s="212" t="s">
        <v>90</v>
      </c>
      <c r="E101" s="183"/>
      <c r="F101" s="183"/>
      <c r="G101" s="213"/>
      <c r="H101" s="213"/>
      <c r="I101" s="213"/>
      <c r="J101" s="213"/>
      <c r="K101" s="213"/>
      <c r="L101" s="213"/>
      <c r="M101" s="213"/>
      <c r="N101" s="213"/>
      <c r="O101" s="213"/>
      <c r="P101" s="213"/>
      <c r="Q101" s="213"/>
      <c r="R101" s="213"/>
    </row>
    <row r="102" spans="1:18" s="211" customFormat="1">
      <c r="A102" s="184"/>
      <c r="B102" s="212" t="s">
        <v>91</v>
      </c>
      <c r="E102" s="183"/>
      <c r="F102" s="183"/>
      <c r="G102" s="213"/>
      <c r="H102" s="213"/>
      <c r="I102" s="213"/>
      <c r="J102" s="213"/>
      <c r="K102" s="213"/>
      <c r="L102" s="213"/>
      <c r="M102" s="213"/>
      <c r="N102" s="213"/>
      <c r="O102" s="213"/>
      <c r="P102" s="213"/>
      <c r="Q102" s="213"/>
      <c r="R102" s="213"/>
    </row>
    <row r="103" spans="1:18" s="211" customFormat="1">
      <c r="A103" s="184"/>
      <c r="B103" s="212" t="s">
        <v>92</v>
      </c>
      <c r="E103" s="183"/>
      <c r="F103" s="183"/>
      <c r="G103" s="213"/>
      <c r="H103" s="213"/>
      <c r="I103" s="213"/>
      <c r="J103" s="213"/>
      <c r="K103" s="213"/>
      <c r="L103" s="213"/>
      <c r="M103" s="213"/>
      <c r="N103" s="213"/>
      <c r="O103" s="213"/>
      <c r="P103" s="213"/>
      <c r="Q103" s="213"/>
      <c r="R103" s="213"/>
    </row>
    <row r="104" spans="1:18">
      <c r="A104" s="184"/>
      <c r="B104" s="212" t="s">
        <v>93</v>
      </c>
      <c r="C104" s="211"/>
      <c r="D104" s="211"/>
      <c r="E104" s="183"/>
      <c r="F104" s="183"/>
    </row>
    <row r="105" spans="1:18">
      <c r="A105" s="184"/>
      <c r="B105" s="212"/>
      <c r="C105" s="211"/>
      <c r="D105" s="211"/>
      <c r="E105" s="183"/>
      <c r="F105" s="183"/>
    </row>
    <row r="106" spans="1:18">
      <c r="A106" s="184"/>
      <c r="B106" s="212"/>
      <c r="C106" s="211"/>
      <c r="D106" s="211"/>
      <c r="E106" s="183"/>
      <c r="F106" s="183"/>
    </row>
    <row r="107" spans="1:18">
      <c r="A107" s="184"/>
      <c r="B107" s="212"/>
      <c r="C107" s="211"/>
      <c r="D107" s="211"/>
      <c r="E107" s="183"/>
      <c r="F107" s="183"/>
    </row>
    <row r="108" spans="1:18">
      <c r="A108" s="184"/>
      <c r="B108" s="212"/>
      <c r="C108" s="211"/>
      <c r="D108" s="211"/>
      <c r="E108" s="183"/>
      <c r="F108" s="183"/>
    </row>
    <row r="109" spans="1:18">
      <c r="A109" s="184"/>
      <c r="B109" s="212" t="s">
        <v>94</v>
      </c>
      <c r="C109" s="211"/>
      <c r="D109" s="211"/>
      <c r="E109" s="183"/>
      <c r="F109" s="183"/>
    </row>
    <row r="110" spans="1:18">
      <c r="A110" s="184"/>
      <c r="B110" s="212" t="s">
        <v>78</v>
      </c>
      <c r="C110" s="211"/>
      <c r="D110" s="211"/>
      <c r="E110" s="183"/>
      <c r="F110" s="183"/>
    </row>
    <row r="111" spans="1:18">
      <c r="A111" s="184"/>
      <c r="B111" s="211"/>
      <c r="C111" s="211"/>
      <c r="D111" s="211"/>
      <c r="E111" s="183"/>
      <c r="F111" s="183"/>
    </row>
    <row r="112" spans="1:18">
      <c r="A112" s="184"/>
      <c r="B112" s="211"/>
      <c r="C112" s="211"/>
      <c r="D112" s="211"/>
      <c r="E112" s="183"/>
      <c r="F112" s="183"/>
    </row>
    <row r="113" spans="1:6">
      <c r="A113" s="184"/>
      <c r="B113" s="211"/>
      <c r="C113" s="211"/>
      <c r="D113" s="211"/>
      <c r="E113" s="183"/>
      <c r="F113" s="183"/>
    </row>
    <row r="114" spans="1:6">
      <c r="A114" s="184"/>
      <c r="B114" s="211"/>
      <c r="C114" s="211"/>
      <c r="D114" s="211"/>
      <c r="E114" s="183"/>
      <c r="F114" s="183"/>
    </row>
    <row r="115" spans="1:6">
      <c r="A115" s="184"/>
      <c r="B115" s="211"/>
      <c r="C115" s="211"/>
      <c r="D115" s="211"/>
      <c r="E115" s="183"/>
      <c r="F115" s="183"/>
    </row>
    <row r="116" spans="1:6">
      <c r="A116" s="184"/>
      <c r="B116" s="211"/>
      <c r="C116" s="211"/>
      <c r="D116" s="211"/>
      <c r="E116" s="183"/>
      <c r="F116" s="183"/>
    </row>
    <row r="117" spans="1:6">
      <c r="A117" s="184"/>
      <c r="B117" s="184"/>
      <c r="C117" s="184"/>
      <c r="D117" s="184"/>
      <c r="E117" s="183"/>
      <c r="F117" s="183"/>
    </row>
  </sheetData>
  <sheetProtection algorithmName="SHA-512" hashValue="Mt66SSDscF5KlwbgH2AQqVQv55d2HxA8pQpMhvrZ4uvDu0efgLDJv28fxsHwIdNVHPkAkyc8dCubRQuUgiW86Q==" saltValue="dzmT3sRUK986i3aNa87r8Q==" spinCount="100000" sheet="1" objects="1" scenarios="1"/>
  <mergeCells count="38">
    <mergeCell ref="B19:E19"/>
    <mergeCell ref="E50:M51"/>
    <mergeCell ref="B47:C47"/>
    <mergeCell ref="B44:C44"/>
    <mergeCell ref="B35:D35"/>
    <mergeCell ref="E39:M41"/>
    <mergeCell ref="C58:D58"/>
    <mergeCell ref="B37:C37"/>
    <mergeCell ref="B38:C38"/>
    <mergeCell ref="B48:C48"/>
    <mergeCell ref="E48:M48"/>
    <mergeCell ref="E44:M44"/>
    <mergeCell ref="E45:M45"/>
    <mergeCell ref="E46:M46"/>
    <mergeCell ref="E43:M43"/>
    <mergeCell ref="E47:M47"/>
    <mergeCell ref="B45:C45"/>
    <mergeCell ref="B46:C46"/>
    <mergeCell ref="B43:C43"/>
    <mergeCell ref="B49:C49"/>
    <mergeCell ref="E49:M49"/>
    <mergeCell ref="B51:C51"/>
    <mergeCell ref="B1:J1"/>
    <mergeCell ref="B2:J2"/>
    <mergeCell ref="E38:M38"/>
    <mergeCell ref="E37:M37"/>
    <mergeCell ref="B54:D54"/>
    <mergeCell ref="B4:E4"/>
    <mergeCell ref="C21:D21"/>
    <mergeCell ref="C22:D22"/>
    <mergeCell ref="C23:D23"/>
    <mergeCell ref="C24:D24"/>
    <mergeCell ref="B50:C50"/>
    <mergeCell ref="E42:M42"/>
    <mergeCell ref="D39:D41"/>
    <mergeCell ref="B39:C41"/>
    <mergeCell ref="B42:C42"/>
    <mergeCell ref="C32:E32"/>
  </mergeCells>
  <phoneticPr fontId="5" type="noConversion"/>
  <conditionalFormatting sqref="D6:D17">
    <cfRule type="cellIs" dxfId="61" priority="3" operator="notEqual">
      <formula>""</formula>
    </cfRule>
  </conditionalFormatting>
  <conditionalFormatting sqref="D20 C21:C24 H25 D28">
    <cfRule type="cellIs" dxfId="60" priority="5" operator="notEqual">
      <formula>""</formula>
    </cfRule>
  </conditionalFormatting>
  <conditionalFormatting sqref="D26">
    <cfRule type="notContainsBlanks" dxfId="59" priority="8">
      <formula>LEN(TRIM(D26))&gt;0</formula>
    </cfRule>
  </conditionalFormatting>
  <dataValidations count="8">
    <dataValidation type="list" allowBlank="1" showInputMessage="1" showErrorMessage="1" sqref="D11" xr:uid="{B139AC47-93BC-4D0C-86A2-8296580D4752}">
      <formula1>$B$103:$B$104</formula1>
    </dataValidation>
    <dataValidation type="list" allowBlank="1" showInputMessage="1" showErrorMessage="1" sqref="D12" xr:uid="{C541FA0E-065C-4B73-8A7B-F4A965FF79F7}">
      <formula1>$B$100:$B$102</formula1>
    </dataValidation>
    <dataValidation type="list" allowBlank="1" showInputMessage="1" showErrorMessage="1" sqref="D59" xr:uid="{2705F454-DC73-48AC-B933-F13FCC4AFECC}">
      <formula1>$B$94:$B$98</formula1>
    </dataValidation>
    <dataValidation type="date" operator="greaterThanOrEqual" allowBlank="1" showInputMessage="1" showErrorMessage="1" error="Must be a date not earlier than today's date" sqref="D28" xr:uid="{3EAF0541-BA65-46B0-81E0-DC06B11D0CD0}">
      <formula1>TODAY()</formula1>
    </dataValidation>
    <dataValidation allowBlank="1" showInputMessage="1" showErrorMessage="1" prompt="Please enter phone number as (###) ### - ###" sqref="H25" xr:uid="{FB179C34-E852-4F0A-975B-4EEE84936E12}"/>
    <dataValidation type="textLength" operator="equal" allowBlank="1" showInputMessage="1" showErrorMessage="1" error="Please enter 10 digit phone number" prompt="Please enter 10 digit phone number" sqref="D18 D15" xr:uid="{AB533174-D767-417B-949C-CE783B79212C}">
      <formula1>10</formula1>
    </dataValidation>
    <dataValidation type="textLength" operator="lessThanOrEqual" allowBlank="1" showInputMessage="1" showErrorMessage="1" error="Must be 50 letters or less" sqref="D14:D18" xr:uid="{9AAFABF3-54DD-4446-81B5-CE469F93D248}">
      <formula1>50</formula1>
    </dataValidation>
    <dataValidation operator="equal" allowBlank="1" showInputMessage="1" showErrorMessage="1" sqref="D16:D17" xr:uid="{BE333AA3-DE0D-43CF-9030-56180BB93CCE}"/>
  </dataValidations>
  <hyperlinks>
    <hyperlink ref="C32" r:id="rId1" xr:uid="{8E1C5F18-29E3-4E2E-97CC-06B73E7A0E9B}"/>
  </hyperlinks>
  <pageMargins left="0.7" right="0.7" top="0.75" bottom="0.75" header="0.3" footer="0.3"/>
  <pageSetup scale="73" orientation="landscape" r:id="rId2"/>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F9483-08FD-4593-A098-253F747B18F4}">
  <sheetPr>
    <tabColor theme="4" tint="0.59999389629810485"/>
  </sheetPr>
  <dimension ref="B1:B7"/>
  <sheetViews>
    <sheetView showGridLines="0" zoomScaleNormal="100" workbookViewId="0">
      <selection activeCell="G16" sqref="G16"/>
    </sheetView>
  </sheetViews>
  <sheetFormatPr defaultColWidth="8.85546875" defaultRowHeight="15.6"/>
  <cols>
    <col min="1" max="1" width="5.5703125" style="747" customWidth="1"/>
    <col min="2" max="2" width="76.5703125" style="747" customWidth="1"/>
    <col min="3" max="16384" width="8.85546875" style="747"/>
  </cols>
  <sheetData>
    <row r="1" spans="2:2" ht="26.45" thickBot="1">
      <c r="B1" s="736" t="s">
        <v>583</v>
      </c>
    </row>
    <row r="3" spans="2:2">
      <c r="B3" s="749"/>
    </row>
    <row r="4" spans="2:2">
      <c r="B4" s="749" t="s">
        <v>698</v>
      </c>
    </row>
    <row r="5" spans="2:2">
      <c r="B5" s="748"/>
    </row>
    <row r="6" spans="2:2">
      <c r="B6" s="748"/>
    </row>
    <row r="7" spans="2:2">
      <c r="B7" s="748"/>
    </row>
  </sheetData>
  <sheetProtection algorithmName="SHA-512" hashValue="u4bV8v1Neq1Qb6B2eHB32aFHjFAJ5Px1w8TGz7qQo2dMp+mTxEXs8GJeVOZKH0IEKlItk3PCeZF0kWJa/PPqZQ==" saltValue="fYkVbS85keWhtiaDXXrtIw==" spinCount="100000" sheet="1" objects="1" scenarios="1"/>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E437A-F93F-4001-B5FE-3DEF4A004F27}">
  <sheetPr>
    <tabColor rgb="FFFFC000"/>
  </sheetPr>
  <dimension ref="A1:L96"/>
  <sheetViews>
    <sheetView showGridLines="0" workbookViewId="0">
      <selection activeCell="J14" sqref="J14"/>
    </sheetView>
  </sheetViews>
  <sheetFormatPr defaultColWidth="8.7109375" defaultRowHeight="15.6" zeroHeight="1"/>
  <cols>
    <col min="1" max="1" width="6.42578125" style="1" customWidth="1"/>
    <col min="2" max="2" width="6.28515625" style="1" customWidth="1"/>
    <col min="3" max="3" width="86.5703125" style="1" customWidth="1"/>
    <col min="4" max="4" width="5.85546875" style="1" customWidth="1"/>
    <col min="5" max="5" width="8.140625" style="1" customWidth="1"/>
    <col min="6" max="6" width="30.5703125" style="119" customWidth="1"/>
    <col min="7" max="7" width="22.5703125" style="117" customWidth="1"/>
    <col min="8" max="8" width="4.42578125" style="117" customWidth="1"/>
    <col min="9" max="9" width="6.5703125" style="117" customWidth="1"/>
    <col min="10" max="10" width="28" style="1" customWidth="1"/>
    <col min="11" max="11" width="16.5703125" customWidth="1"/>
    <col min="12" max="16219" width="8.7109375" style="1"/>
    <col min="16220" max="16384" width="19.85546875" style="1" customWidth="1"/>
  </cols>
  <sheetData>
    <row r="1" spans="1:12" ht="26.1">
      <c r="A1" s="1173" t="s">
        <v>583</v>
      </c>
      <c r="B1" s="1174"/>
      <c r="C1" s="1174"/>
      <c r="D1" s="1174"/>
      <c r="E1" s="1174"/>
      <c r="F1" s="1174"/>
      <c r="G1" s="1174"/>
      <c r="H1" s="1174"/>
      <c r="I1" s="1174"/>
      <c r="J1" s="1174"/>
      <c r="K1" s="106" t="s">
        <v>1</v>
      </c>
      <c r="L1" s="107" t="str">
        <f>'A9. SummaryOfReconciliations '!I1</f>
        <v xml:space="preserve"> </v>
      </c>
    </row>
    <row r="2" spans="1:12">
      <c r="K2" s="106" t="s">
        <v>3</v>
      </c>
      <c r="L2" s="107" t="str">
        <f>'A9. SummaryOfReconciliations '!I2</f>
        <v>Please enter Ministry licence number on tab A6 row 7</v>
      </c>
    </row>
    <row r="3" spans="1:12" s="877" customFormat="1" ht="36" customHeight="1">
      <c r="A3" s="873" t="s">
        <v>699</v>
      </c>
      <c r="B3" s="873"/>
      <c r="C3" s="874"/>
      <c r="D3" s="874"/>
      <c r="E3" s="874"/>
      <c r="F3" s="875"/>
      <c r="G3" s="734"/>
      <c r="H3" s="734"/>
      <c r="I3" s="734"/>
      <c r="J3" s="876"/>
    </row>
    <row r="4" spans="1:12" ht="20.100000000000001">
      <c r="A4" s="878"/>
      <c r="B4" s="878"/>
      <c r="C4" s="827"/>
      <c r="D4" s="827"/>
      <c r="E4" s="827"/>
      <c r="F4" s="879"/>
      <c r="G4" s="116"/>
      <c r="H4" s="116"/>
      <c r="I4" s="116"/>
      <c r="J4"/>
    </row>
    <row r="5" spans="1:12">
      <c r="A5" s="827"/>
      <c r="B5" s="827"/>
      <c r="C5" s="827"/>
      <c r="D5" s="827"/>
      <c r="E5" s="827"/>
      <c r="F5" s="880"/>
    </row>
    <row r="6" spans="1:12" ht="17.45">
      <c r="B6" s="829" t="s">
        <v>700</v>
      </c>
      <c r="C6" s="829"/>
      <c r="D6" s="829"/>
      <c r="E6" s="119"/>
    </row>
    <row r="7" spans="1:12">
      <c r="B7" s="600" t="s">
        <v>701</v>
      </c>
      <c r="C7" s="600"/>
      <c r="D7" s="600"/>
      <c r="E7" s="119"/>
      <c r="L7" s="827"/>
    </row>
    <row r="8" spans="1:12" s="120" customFormat="1" ht="15">
      <c r="C8" s="832" t="s">
        <v>702</v>
      </c>
      <c r="D8" s="832"/>
      <c r="E8" s="122" t="s">
        <v>703</v>
      </c>
      <c r="F8" s="881">
        <f>'A5. Operations'!F7</f>
        <v>0</v>
      </c>
      <c r="L8" s="833"/>
    </row>
    <row r="9" spans="1:12" s="120" customFormat="1" ht="15">
      <c r="C9" s="832" t="s">
        <v>704</v>
      </c>
      <c r="D9" s="832"/>
      <c r="E9" s="122" t="s">
        <v>705</v>
      </c>
      <c r="F9" s="881">
        <f>'A1. Identification'!D7</f>
        <v>0</v>
      </c>
    </row>
    <row r="10" spans="1:12" s="120" customFormat="1" ht="15">
      <c r="C10" s="882" t="s">
        <v>706</v>
      </c>
      <c r="D10" s="832"/>
      <c r="E10" s="122" t="s">
        <v>707</v>
      </c>
      <c r="F10" s="881">
        <f>'A5. Operations'!F8</f>
        <v>0</v>
      </c>
      <c r="L10" s="833"/>
    </row>
    <row r="11" spans="1:12" s="120" customFormat="1" ht="15">
      <c r="C11" s="832" t="s">
        <v>708</v>
      </c>
      <c r="D11" s="832"/>
      <c r="E11" s="122" t="s">
        <v>709</v>
      </c>
      <c r="F11" s="883">
        <f>'A5. Operations'!F9</f>
        <v>0</v>
      </c>
      <c r="L11" s="833"/>
    </row>
    <row r="12" spans="1:12" s="120" customFormat="1" ht="15">
      <c r="C12" s="832" t="s">
        <v>710</v>
      </c>
      <c r="D12" s="601"/>
      <c r="E12" s="644"/>
      <c r="F12" s="884" t="s">
        <v>711</v>
      </c>
      <c r="L12" s="833"/>
    </row>
    <row r="13" spans="1:12" s="120" customFormat="1" ht="15">
      <c r="C13" s="885" t="s">
        <v>712</v>
      </c>
      <c r="D13" s="885"/>
      <c r="E13" s="122" t="s">
        <v>713</v>
      </c>
      <c r="F13" s="646" t="s">
        <v>714</v>
      </c>
      <c r="L13" s="833"/>
    </row>
    <row r="14" spans="1:12" s="120" customFormat="1" ht="15">
      <c r="C14" s="832" t="s">
        <v>715</v>
      </c>
      <c r="D14" s="832"/>
      <c r="E14" s="122" t="s">
        <v>716</v>
      </c>
      <c r="F14" s="647">
        <v>2025</v>
      </c>
      <c r="L14" s="833"/>
    </row>
    <row r="15" spans="1:12" s="120" customFormat="1" ht="15">
      <c r="B15" s="601"/>
      <c r="C15" s="601"/>
      <c r="D15" s="601"/>
      <c r="E15" s="644"/>
      <c r="F15" s="601"/>
      <c r="L15" s="833"/>
    </row>
    <row r="16" spans="1:12" s="120" customFormat="1" ht="17.45">
      <c r="B16" s="886" t="s">
        <v>130</v>
      </c>
      <c r="C16" s="601"/>
      <c r="D16" s="601"/>
      <c r="E16" s="121"/>
      <c r="I16" s="644"/>
      <c r="J16" s="601"/>
      <c r="L16" s="833"/>
    </row>
    <row r="17" spans="2:12" s="120" customFormat="1" ht="15">
      <c r="B17" s="600" t="s">
        <v>131</v>
      </c>
      <c r="C17" s="600"/>
      <c r="D17" s="600"/>
      <c r="E17" s="121"/>
      <c r="I17" s="644"/>
      <c r="J17" s="601"/>
      <c r="L17" s="833"/>
    </row>
    <row r="18" spans="2:12">
      <c r="C18" s="1" t="s">
        <v>132</v>
      </c>
      <c r="E18" s="119"/>
      <c r="I18" s="645" t="s">
        <v>133</v>
      </c>
      <c r="J18" s="887">
        <f>+'A2.Operating Plan'!H42</f>
        <v>0</v>
      </c>
      <c r="L18" s="827"/>
    </row>
    <row r="19" spans="2:12" ht="28.15" customHeight="1">
      <c r="G19" s="125"/>
      <c r="H19" s="125"/>
      <c r="I19" s="125"/>
      <c r="J19" s="123"/>
      <c r="L19" s="827"/>
    </row>
    <row r="20" spans="2:12" ht="75.75" customHeight="1">
      <c r="B20" s="888" t="s">
        <v>134</v>
      </c>
      <c r="C20" s="623"/>
      <c r="F20" s="602" t="s">
        <v>135</v>
      </c>
      <c r="G20" s="602" t="s">
        <v>136</v>
      </c>
      <c r="H20" s="624"/>
      <c r="I20" s="624"/>
      <c r="J20" s="602" t="s">
        <v>137</v>
      </c>
      <c r="L20" s="827"/>
    </row>
    <row r="21" spans="2:12">
      <c r="C21" s="146" t="s">
        <v>717</v>
      </c>
      <c r="D21" s="625"/>
      <c r="E21" s="626"/>
      <c r="F21" s="627" t="str">
        <f>IF(F12="","",F12)</f>
        <v>Regional Municipality of Peel </v>
      </c>
      <c r="G21" s="628" t="s">
        <v>714</v>
      </c>
      <c r="H21" s="629"/>
      <c r="I21" s="122" t="s">
        <v>139</v>
      </c>
      <c r="J21" s="889">
        <f>'A2.Operating Plan'!H45</f>
        <v>0</v>
      </c>
      <c r="L21" s="827"/>
    </row>
    <row r="22" spans="2:12" ht="26.25" customHeight="1">
      <c r="C22" s="846" t="s">
        <v>140</v>
      </c>
      <c r="D22" s="626"/>
      <c r="E22" s="626"/>
      <c r="F22" s="146"/>
      <c r="G22" s="626"/>
      <c r="H22" s="626"/>
      <c r="I22" s="626"/>
      <c r="J22" s="626"/>
      <c r="L22" s="827"/>
    </row>
    <row r="23" spans="2:12" ht="20.25" customHeight="1">
      <c r="C23" s="626" t="s">
        <v>141</v>
      </c>
      <c r="D23" s="819"/>
      <c r="E23" s="122" t="s">
        <v>142</v>
      </c>
      <c r="F23" s="890" t="str">
        <f>'A2.Operating Plan'!E47</f>
        <v xml:space="preserve"> </v>
      </c>
      <c r="G23" s="628" t="str">
        <f>'A2.Operating Plan'!F47</f>
        <v/>
      </c>
      <c r="H23" s="629"/>
      <c r="I23" s="122" t="s">
        <v>143</v>
      </c>
      <c r="J23" s="889">
        <f>'A2.Operating Plan'!H47</f>
        <v>0</v>
      </c>
      <c r="L23" s="827"/>
    </row>
    <row r="24" spans="2:12" ht="20.25" customHeight="1">
      <c r="C24" s="626" t="s">
        <v>144</v>
      </c>
      <c r="D24" s="819"/>
      <c r="E24" s="122" t="s">
        <v>145</v>
      </c>
      <c r="F24" s="890" t="str">
        <f>'A2.Operating Plan'!E48</f>
        <v xml:space="preserve"> </v>
      </c>
      <c r="G24" s="628" t="str">
        <f>'A2.Operating Plan'!F48</f>
        <v/>
      </c>
      <c r="H24" s="629"/>
      <c r="I24" s="122" t="s">
        <v>146</v>
      </c>
      <c r="J24" s="889">
        <f>'A2.Operating Plan'!H48</f>
        <v>0</v>
      </c>
      <c r="L24" s="827"/>
    </row>
    <row r="25" spans="2:12" ht="20.25" customHeight="1">
      <c r="C25" s="626" t="s">
        <v>147</v>
      </c>
      <c r="D25" s="819"/>
      <c r="E25" s="122" t="s">
        <v>148</v>
      </c>
      <c r="F25" s="890" t="str">
        <f>'A2.Operating Plan'!E49</f>
        <v xml:space="preserve"> </v>
      </c>
      <c r="G25" s="628" t="str">
        <f>'A2.Operating Plan'!F49</f>
        <v/>
      </c>
      <c r="H25" s="629"/>
      <c r="I25" s="122" t="s">
        <v>149</v>
      </c>
      <c r="J25" s="889">
        <f>'A2.Operating Plan'!H49</f>
        <v>0</v>
      </c>
      <c r="L25" s="827"/>
    </row>
    <row r="26" spans="2:12" ht="20.25" customHeight="1">
      <c r="C26" s="626" t="s">
        <v>150</v>
      </c>
      <c r="D26" s="819"/>
      <c r="E26" s="122" t="s">
        <v>151</v>
      </c>
      <c r="F26" s="890" t="str">
        <f>'A2.Operating Plan'!E50</f>
        <v xml:space="preserve"> </v>
      </c>
      <c r="G26" s="628" t="str">
        <f>'A2.Operating Plan'!F50</f>
        <v/>
      </c>
      <c r="H26" s="629"/>
      <c r="I26" s="122" t="s">
        <v>152</v>
      </c>
      <c r="J26" s="889">
        <f>'A2.Operating Plan'!H50</f>
        <v>0</v>
      </c>
      <c r="L26" s="827"/>
    </row>
    <row r="27" spans="2:12" ht="20.25" customHeight="1">
      <c r="C27" s="626" t="s">
        <v>153</v>
      </c>
      <c r="D27" s="819"/>
      <c r="E27" s="122" t="s">
        <v>154</v>
      </c>
      <c r="F27" s="890" t="str">
        <f>'A2.Operating Plan'!E51</f>
        <v xml:space="preserve"> </v>
      </c>
      <c r="G27" s="628" t="str">
        <f>'A2.Operating Plan'!F51</f>
        <v/>
      </c>
      <c r="H27" s="629"/>
      <c r="I27" s="122" t="s">
        <v>155</v>
      </c>
      <c r="J27" s="889">
        <f>'A2.Operating Plan'!H51</f>
        <v>0</v>
      </c>
      <c r="L27" s="827"/>
    </row>
    <row r="28" spans="2:12" ht="20.25" hidden="1" customHeight="1">
      <c r="C28" s="626" t="s">
        <v>156</v>
      </c>
      <c r="D28" s="819"/>
      <c r="E28" s="122" t="s">
        <v>157</v>
      </c>
      <c r="F28" s="890"/>
      <c r="G28" s="628"/>
      <c r="H28" s="629"/>
      <c r="I28" s="122" t="s">
        <v>158</v>
      </c>
      <c r="J28" s="889"/>
    </row>
    <row r="29" spans="2:12" ht="20.25" hidden="1" customHeight="1">
      <c r="C29" s="626" t="s">
        <v>159</v>
      </c>
      <c r="D29" s="819"/>
      <c r="E29" s="122" t="s">
        <v>160</v>
      </c>
      <c r="F29" s="890"/>
      <c r="G29" s="628"/>
      <c r="H29" s="629"/>
      <c r="I29" s="122" t="s">
        <v>161</v>
      </c>
      <c r="J29" s="889"/>
      <c r="L29" s="827"/>
    </row>
    <row r="30" spans="2:12" ht="20.25" hidden="1" customHeight="1">
      <c r="C30" s="626" t="s">
        <v>162</v>
      </c>
      <c r="D30" s="819"/>
      <c r="E30" s="122" t="s">
        <v>163</v>
      </c>
      <c r="F30" s="890"/>
      <c r="G30" s="628"/>
      <c r="H30" s="629"/>
      <c r="I30" s="122" t="s">
        <v>164</v>
      </c>
      <c r="J30" s="889"/>
      <c r="L30" s="827"/>
    </row>
    <row r="31" spans="2:12" ht="20.25" hidden="1" customHeight="1">
      <c r="C31" s="626" t="s">
        <v>165</v>
      </c>
      <c r="D31" s="819"/>
      <c r="E31" s="122" t="s">
        <v>166</v>
      </c>
      <c r="F31" s="890"/>
      <c r="G31" s="628"/>
      <c r="H31" s="629"/>
      <c r="I31" s="122" t="s">
        <v>167</v>
      </c>
      <c r="J31" s="889"/>
      <c r="L31" s="827"/>
    </row>
    <row r="32" spans="2:12" hidden="1">
      <c r="C32" s="626" t="s">
        <v>168</v>
      </c>
      <c r="D32" s="819"/>
      <c r="E32" s="122" t="s">
        <v>169</v>
      </c>
      <c r="F32" s="890"/>
      <c r="G32" s="628"/>
      <c r="H32" s="629"/>
      <c r="I32" s="122" t="s">
        <v>170</v>
      </c>
      <c r="J32" s="889"/>
      <c r="L32" s="827"/>
    </row>
    <row r="33" spans="2:12">
      <c r="D33" s="626"/>
      <c r="E33" s="626"/>
      <c r="F33" s="626"/>
      <c r="G33" s="626"/>
      <c r="H33" s="626"/>
      <c r="I33" s="626" t="s">
        <v>171</v>
      </c>
      <c r="J33" s="630">
        <f>+SUM(J21:J32)</f>
        <v>0</v>
      </c>
      <c r="L33" s="827"/>
    </row>
    <row r="34" spans="2:12" ht="17.45">
      <c r="B34" s="891" t="s">
        <v>718</v>
      </c>
      <c r="F34" s="1"/>
      <c r="H34" s="1"/>
      <c r="I34" s="1"/>
      <c r="J34" s="643" t="str">
        <f>+IF(J18&lt;&gt;SUM(J23:J32,J21),"WARNING: The total number of active home-days should equal to the sum of all active home-days in overseeing and secondary CMSMs/DSSABs","")</f>
        <v/>
      </c>
      <c r="L34" s="827"/>
    </row>
    <row r="35" spans="2:12" ht="9.75" customHeight="1">
      <c r="B35" s="891"/>
      <c r="C35" s="827"/>
      <c r="D35" s="827"/>
      <c r="E35" s="827"/>
      <c r="G35" s="1"/>
      <c r="H35" s="1"/>
      <c r="I35" s="1"/>
      <c r="L35" s="827"/>
    </row>
    <row r="36" spans="2:12" ht="17.45">
      <c r="B36" s="892" t="s">
        <v>719</v>
      </c>
      <c r="C36" s="892"/>
      <c r="D36" s="892"/>
      <c r="E36" s="843"/>
      <c r="F36" s="126"/>
      <c r="H36" s="126"/>
      <c r="I36" s="126"/>
    </row>
    <row r="37" spans="2:12">
      <c r="B37" s="600" t="s">
        <v>720</v>
      </c>
      <c r="C37" s="600"/>
      <c r="D37" s="600"/>
      <c r="F37" s="1"/>
      <c r="G37" s="118"/>
      <c r="H37" s="1"/>
      <c r="I37" s="1"/>
    </row>
    <row r="38" spans="2:12">
      <c r="C38" s="1" t="s">
        <v>721</v>
      </c>
      <c r="E38" s="122" t="s">
        <v>722</v>
      </c>
      <c r="F38" s="893">
        <f>+'A5. Operations'!E20+'A3. Peel Region Grants'!G37</f>
        <v>0</v>
      </c>
      <c r="H38" s="128"/>
    </row>
    <row r="39" spans="2:12">
      <c r="C39" s="1" t="s">
        <v>723</v>
      </c>
      <c r="E39" s="122" t="s">
        <v>724</v>
      </c>
      <c r="F39" s="893">
        <f>'A5. Operations'!E21</f>
        <v>0</v>
      </c>
      <c r="H39" s="128"/>
    </row>
    <row r="40" spans="2:12">
      <c r="E40" s="119"/>
      <c r="F40" s="129"/>
      <c r="H40" s="129"/>
      <c r="I40" s="129"/>
      <c r="J40" s="894"/>
    </row>
    <row r="41" spans="2:12" ht="17.45">
      <c r="B41" s="892" t="s">
        <v>725</v>
      </c>
      <c r="C41" s="892"/>
      <c r="D41" s="892"/>
      <c r="E41" s="119"/>
      <c r="F41" s="126"/>
      <c r="H41" s="126"/>
      <c r="I41" s="126"/>
      <c r="J41" s="895"/>
    </row>
    <row r="42" spans="2:12">
      <c r="B42" s="600" t="s">
        <v>726</v>
      </c>
      <c r="C42" s="600"/>
      <c r="D42" s="600"/>
      <c r="E42" s="119"/>
      <c r="F42" s="126"/>
      <c r="H42" s="126"/>
      <c r="I42" s="126"/>
      <c r="J42" s="895"/>
    </row>
    <row r="43" spans="2:12">
      <c r="B43" s="600" t="s">
        <v>727</v>
      </c>
      <c r="C43" s="600"/>
      <c r="D43" s="600"/>
      <c r="E43" s="119"/>
      <c r="F43" s="126"/>
      <c r="H43" s="126"/>
      <c r="I43" s="126"/>
      <c r="J43" s="895"/>
    </row>
    <row r="44" spans="2:12" s="119" customFormat="1" ht="27.95">
      <c r="F44" s="130" t="s">
        <v>728</v>
      </c>
      <c r="G44" s="648" t="s">
        <v>729</v>
      </c>
      <c r="H44" s="649"/>
      <c r="I44" s="649"/>
    </row>
    <row r="45" spans="2:12" s="119" customFormat="1" ht="15">
      <c r="C45" s="896" t="s">
        <v>730</v>
      </c>
      <c r="D45" s="896"/>
      <c r="E45" s="896"/>
      <c r="F45" s="130"/>
      <c r="G45" s="598"/>
      <c r="H45" s="598"/>
      <c r="I45" s="598"/>
    </row>
    <row r="46" spans="2:12">
      <c r="B46" s="897"/>
      <c r="C46" s="898" t="s">
        <v>434</v>
      </c>
      <c r="D46" s="898"/>
      <c r="E46" s="899" t="s">
        <v>731</v>
      </c>
      <c r="F46" s="893">
        <f>'A5. Operations'!E46+'A5. Operations'!E47-'A3. Peel Region Grants'!G39</f>
        <v>0</v>
      </c>
      <c r="G46" s="650" t="str">
        <f>+IFERROR(F46/$F$68,"")</f>
        <v/>
      </c>
      <c r="H46" s="651"/>
      <c r="I46" s="651"/>
    </row>
    <row r="47" spans="2:12">
      <c r="B47" s="897"/>
      <c r="C47" s="846" t="s">
        <v>439</v>
      </c>
      <c r="D47" s="846"/>
      <c r="E47" s="899" t="s">
        <v>732</v>
      </c>
      <c r="F47" s="893">
        <f>+'A5. Operations'!E48+'A5. Operations'!E49</f>
        <v>0</v>
      </c>
      <c r="G47" s="650" t="str">
        <f>+IFERROR(F47/$F$68,"")</f>
        <v/>
      </c>
      <c r="H47" s="651"/>
      <c r="I47" s="651"/>
    </row>
    <row r="48" spans="2:12">
      <c r="B48" s="897"/>
      <c r="C48" s="898" t="s">
        <v>733</v>
      </c>
      <c r="D48" s="898"/>
      <c r="E48" s="899" t="s">
        <v>734</v>
      </c>
      <c r="F48" s="893">
        <f>+'A5. Operations'!E50</f>
        <v>0</v>
      </c>
      <c r="G48" s="650" t="str">
        <f>+IFERROR(F48/$F$68,"")</f>
        <v/>
      </c>
      <c r="H48" s="651"/>
      <c r="I48" s="651"/>
    </row>
    <row r="49" spans="2:9">
      <c r="B49" s="897"/>
      <c r="C49" s="898" t="s">
        <v>459</v>
      </c>
      <c r="D49" s="898"/>
      <c r="E49" s="899" t="s">
        <v>735</v>
      </c>
      <c r="F49" s="900">
        <f>'A5. Operations'!E51</f>
        <v>0</v>
      </c>
      <c r="G49" s="650" t="str">
        <f>+IFERROR(F49/$F$68,"")</f>
        <v/>
      </c>
      <c r="H49" s="651"/>
      <c r="I49" s="651"/>
    </row>
    <row r="50" spans="2:9">
      <c r="B50" s="897"/>
      <c r="C50" s="898" t="s">
        <v>736</v>
      </c>
      <c r="D50" s="898"/>
      <c r="E50" s="899" t="s">
        <v>737</v>
      </c>
      <c r="F50" s="893">
        <f>'A5. Operations'!E52-'A3. Peel Region Grants'!F130</f>
        <v>0</v>
      </c>
      <c r="G50" s="652" t="str">
        <f>+IFERROR(F50/$F$68,"")</f>
        <v/>
      </c>
      <c r="H50" s="651"/>
      <c r="I50" s="651"/>
    </row>
    <row r="51" spans="2:9">
      <c r="B51" s="897"/>
      <c r="C51" s="898" t="s">
        <v>273</v>
      </c>
      <c r="D51" s="898"/>
      <c r="E51" s="899" t="s">
        <v>738</v>
      </c>
      <c r="F51" s="901">
        <f>'A3. KPIs'!E8</f>
        <v>0</v>
      </c>
      <c r="G51" s="653"/>
      <c r="H51" s="651"/>
      <c r="I51" s="651"/>
    </row>
    <row r="52" spans="2:9">
      <c r="C52" s="816"/>
      <c r="D52" s="816"/>
      <c r="E52" s="816"/>
      <c r="F52" s="902"/>
      <c r="G52" s="599"/>
      <c r="H52" s="654"/>
      <c r="I52" s="654"/>
    </row>
    <row r="53" spans="2:9">
      <c r="C53" s="843" t="s">
        <v>739</v>
      </c>
      <c r="D53" s="843"/>
      <c r="E53" s="843"/>
      <c r="F53" s="902"/>
      <c r="G53" s="599"/>
      <c r="H53" s="654"/>
      <c r="I53" s="654"/>
    </row>
    <row r="54" spans="2:9">
      <c r="B54" s="897"/>
      <c r="C54" s="898" t="s">
        <v>740</v>
      </c>
      <c r="D54" s="898"/>
      <c r="E54" s="899" t="s">
        <v>741</v>
      </c>
      <c r="F54" s="900">
        <f>+'A5. Operations'!E104+'A5. Operations'!E105+'A5. Operations'!E106-'A3. Peel Region Grants'!F160</f>
        <v>0</v>
      </c>
      <c r="G54" s="650" t="str">
        <f>+IFERROR(F54/$F$68,"")</f>
        <v/>
      </c>
      <c r="H54" s="651"/>
      <c r="I54" s="651"/>
    </row>
    <row r="55" spans="2:9">
      <c r="C55" s="119"/>
      <c r="D55" s="119"/>
      <c r="E55" s="119"/>
      <c r="G55" s="903"/>
      <c r="H55" s="904"/>
      <c r="I55" s="904"/>
    </row>
    <row r="56" spans="2:9">
      <c r="C56" s="816" t="s">
        <v>742</v>
      </c>
      <c r="D56" s="816"/>
      <c r="E56" s="816"/>
      <c r="F56" s="1"/>
      <c r="G56" s="599"/>
      <c r="H56" s="654"/>
      <c r="I56" s="654"/>
    </row>
    <row r="57" spans="2:9">
      <c r="B57" s="897"/>
      <c r="C57" s="905" t="s">
        <v>743</v>
      </c>
      <c r="D57" s="905"/>
      <c r="E57" s="906" t="s">
        <v>744</v>
      </c>
      <c r="F57" s="893">
        <f>+'A5. Operations'!E54+'A5. Operations'!E56+'A5. Operations'!E58+'A5. Operations'!E60</f>
        <v>0</v>
      </c>
      <c r="G57" s="650" t="str">
        <f>+IFERROR(F57/$F$68,"")</f>
        <v/>
      </c>
      <c r="H57" s="651"/>
      <c r="I57" s="651"/>
    </row>
    <row r="58" spans="2:9">
      <c r="B58" s="897"/>
      <c r="C58" s="905" t="s">
        <v>745</v>
      </c>
      <c r="D58" s="905"/>
      <c r="E58" s="906" t="s">
        <v>746</v>
      </c>
      <c r="F58" s="893">
        <f>+'A5. Operations'!E55+'A5. Operations'!E57</f>
        <v>0</v>
      </c>
      <c r="G58" s="650" t="str">
        <f>+IFERROR(F58/$F$68,"")</f>
        <v/>
      </c>
      <c r="H58" s="651"/>
      <c r="I58" s="651"/>
    </row>
    <row r="59" spans="2:9">
      <c r="B59" s="897"/>
      <c r="C59" s="905" t="s">
        <v>747</v>
      </c>
      <c r="D59" s="905"/>
      <c r="E59" s="906" t="s">
        <v>748</v>
      </c>
      <c r="F59" s="893">
        <f>'A5. Operations'!E72+'A5. Operations'!E73+'A5. Operations'!E74-'A3. Peel Region Grants'!G38</f>
        <v>0</v>
      </c>
      <c r="G59" s="650" t="str">
        <f t="shared" ref="G59:G66" si="0">+IFERROR(F59/$F$68,"")</f>
        <v/>
      </c>
      <c r="H59" s="651"/>
      <c r="I59" s="651"/>
    </row>
    <row r="60" spans="2:9" ht="30">
      <c r="B60" s="842"/>
      <c r="C60" s="905" t="s">
        <v>749</v>
      </c>
      <c r="D60" s="905"/>
      <c r="E60" s="906" t="s">
        <v>750</v>
      </c>
      <c r="F60" s="893">
        <f>+'A5. Operations'!E65+'A5. Operations'!E68+'A5. Operations'!E81+'A5. Operations'!E94+'A5. Operations'!E88</f>
        <v>0</v>
      </c>
      <c r="G60" s="650" t="str">
        <f t="shared" si="0"/>
        <v/>
      </c>
      <c r="H60" s="651"/>
      <c r="I60" s="651"/>
    </row>
    <row r="61" spans="2:9">
      <c r="B61" s="897"/>
      <c r="C61" s="905" t="s">
        <v>751</v>
      </c>
      <c r="D61" s="905"/>
      <c r="E61" s="906" t="s">
        <v>752</v>
      </c>
      <c r="F61" s="893">
        <f>+'A5. Operations'!E77+'A5. Operations'!E78</f>
        <v>0</v>
      </c>
      <c r="G61" s="650" t="str">
        <f t="shared" si="0"/>
        <v/>
      </c>
      <c r="H61" s="651"/>
      <c r="I61" s="651"/>
    </row>
    <row r="62" spans="2:9">
      <c r="B62" s="897"/>
      <c r="C62" s="905" t="s">
        <v>753</v>
      </c>
      <c r="D62" s="905"/>
      <c r="E62" s="906" t="s">
        <v>754</v>
      </c>
      <c r="F62" s="893">
        <f>'A5. Operations'!E107++'A5. Operations'!E66</f>
        <v>0</v>
      </c>
      <c r="G62" s="650" t="str">
        <f t="shared" si="0"/>
        <v/>
      </c>
      <c r="H62" s="651"/>
      <c r="I62" s="651"/>
    </row>
    <row r="63" spans="2:9">
      <c r="B63" s="897"/>
      <c r="C63" s="905" t="s">
        <v>755</v>
      </c>
      <c r="D63" s="905"/>
      <c r="E63" s="906" t="s">
        <v>756</v>
      </c>
      <c r="F63" s="893">
        <f>+'A5. Operations'!E90+'A5. Operations'!E89</f>
        <v>0</v>
      </c>
      <c r="G63" s="650" t="str">
        <f t="shared" si="0"/>
        <v/>
      </c>
      <c r="H63" s="651"/>
      <c r="I63" s="651"/>
    </row>
    <row r="64" spans="2:9" hidden="1">
      <c r="B64" s="897"/>
      <c r="C64" s="907" t="s">
        <v>757</v>
      </c>
      <c r="D64" s="905"/>
      <c r="E64" s="906" t="s">
        <v>758</v>
      </c>
      <c r="F64" s="893"/>
      <c r="G64" s="650" t="str">
        <f t="shared" si="0"/>
        <v/>
      </c>
      <c r="H64" s="651"/>
      <c r="I64" s="651"/>
    </row>
    <row r="65" spans="2:10" ht="30">
      <c r="B65" s="842"/>
      <c r="C65" s="905" t="s">
        <v>759</v>
      </c>
      <c r="D65" s="905"/>
      <c r="E65" s="906" t="s">
        <v>760</v>
      </c>
      <c r="F65" s="893">
        <f>+'A5. Operations'!E63+'A5. Operations'!E64+'A5. Operations'!E67+'A5. Operations'!E69+'A7. 2025 CWELCC'!D23</f>
        <v>0</v>
      </c>
      <c r="G65" s="650" t="str">
        <f t="shared" si="0"/>
        <v/>
      </c>
      <c r="H65" s="651"/>
      <c r="I65" s="651"/>
    </row>
    <row r="66" spans="2:10">
      <c r="B66" s="897"/>
      <c r="C66" s="905" t="s">
        <v>761</v>
      </c>
      <c r="D66" s="905"/>
      <c r="E66" s="906" t="s">
        <v>762</v>
      </c>
      <c r="F66" s="893">
        <f>'A5. Operations'!E82+'A5. Operations'!E84+'A5. Operations'!E85+'A5. Operations'!E86+'A5. Operations'!E87+'A5. Operations'!E91+'A5. Operations'!E92+'A5. Operations'!E93+'A5. Operations'!E95+'A5. Operations'!E96+'A5. Operations'!E98+'A5. Operations'!E99+'A5. Operations'!E100+'A5. Operations'!E101+'A5. Operations'!E109+'A5. Operations'!E110+'A7. 2025 CWELCC'!D42+IF(('A3. Peel Region Grants'!C114-'A3. Peel Region Grants'!C115-'A3. Peel Region Grants'!C116)&gt;'A3. Peel Region Grants'!C104,((('A3. Peel Region Grants'!C114-'A3. Peel Region Grants'!C115-'A3. Peel Region Grants'!C116)-'A3. Peel Region Grants'!C104)),0)</f>
        <v>0</v>
      </c>
      <c r="G66" s="650" t="str">
        <f t="shared" si="0"/>
        <v/>
      </c>
      <c r="H66" s="651"/>
      <c r="I66" s="651"/>
    </row>
    <row r="67" spans="2:10">
      <c r="C67" s="898"/>
      <c r="D67" s="898"/>
      <c r="E67" s="898"/>
      <c r="F67" s="902"/>
      <c r="G67" s="908"/>
      <c r="H67" s="902"/>
      <c r="I67" s="902"/>
    </row>
    <row r="68" spans="2:10" ht="30.6">
      <c r="C68" s="909" t="s">
        <v>763</v>
      </c>
      <c r="D68" s="909"/>
      <c r="E68" s="909"/>
      <c r="F68" s="132">
        <f>+SUM(F46:F50,F54,F57:F66)</f>
        <v>0</v>
      </c>
      <c r="G68" s="655">
        <f>+SUM(G46:G67)</f>
        <v>0</v>
      </c>
      <c r="H68" s="656"/>
      <c r="I68" s="656"/>
    </row>
    <row r="69" spans="2:10">
      <c r="C69" s="909"/>
      <c r="D69" s="909"/>
      <c r="E69" s="909"/>
      <c r="F69" s="132"/>
      <c r="G69" s="656"/>
      <c r="H69" s="656"/>
      <c r="I69" s="656"/>
    </row>
    <row r="70" spans="2:10">
      <c r="B70" s="860"/>
      <c r="C70" s="898" t="s">
        <v>764</v>
      </c>
      <c r="D70" s="898"/>
      <c r="E70" s="906" t="s">
        <v>765</v>
      </c>
      <c r="F70" s="910">
        <f>+'A9. SummaryOfReconciliations '!D14+'A9. SummaryOfReconciliations '!D21+'A9. SummaryOfReconciliations '!F21</f>
        <v>0</v>
      </c>
      <c r="G70" s="123"/>
      <c r="H70" s="123"/>
      <c r="I70" s="123"/>
    </row>
    <row r="71" spans="2:10">
      <c r="C71" s="119"/>
      <c r="D71" s="119"/>
      <c r="E71" s="119"/>
      <c r="F71" s="1"/>
      <c r="G71" s="1"/>
      <c r="H71" s="1"/>
      <c r="I71" s="1"/>
    </row>
    <row r="72" spans="2:10" ht="30.6">
      <c r="C72" s="909" t="s">
        <v>766</v>
      </c>
      <c r="D72" s="909"/>
      <c r="E72" s="909"/>
      <c r="F72" s="132">
        <f>+F68+F70</f>
        <v>0</v>
      </c>
      <c r="G72" s="656"/>
      <c r="H72" s="656"/>
      <c r="I72" s="656"/>
    </row>
    <row r="73" spans="2:10">
      <c r="C73" s="909"/>
      <c r="D73" s="909"/>
      <c r="E73" s="909"/>
      <c r="F73" s="132"/>
      <c r="G73" s="656"/>
      <c r="H73" s="656"/>
      <c r="I73" s="656"/>
    </row>
    <row r="74" spans="2:10" ht="30.6">
      <c r="C74" s="911" t="str">
        <f>"Of the "&amp;TEXT(F72,"$#,###.00")&amp;", how much was specifically spent to support the inclusion of eligible children with special needs?"</f>
        <v>Of the $.00, how much was specifically spent to support the inclusion of eligible children with special needs?</v>
      </c>
      <c r="D74" s="909"/>
      <c r="E74" s="912" t="s">
        <v>767</v>
      </c>
      <c r="F74" s="913">
        <v>0</v>
      </c>
      <c r="G74" s="656"/>
      <c r="H74" s="656"/>
      <c r="I74" s="656"/>
    </row>
    <row r="75" spans="2:10">
      <c r="C75" s="909"/>
      <c r="D75" s="909"/>
      <c r="E75" s="909"/>
      <c r="F75" s="132"/>
      <c r="G75" s="656"/>
      <c r="H75" s="656"/>
      <c r="I75" s="656"/>
    </row>
    <row r="76" spans="2:10">
      <c r="C76" s="898" t="s">
        <v>768</v>
      </c>
      <c r="D76" s="898"/>
      <c r="F76" s="1" t="s">
        <v>769</v>
      </c>
      <c r="H76" s="1"/>
      <c r="I76" s="133"/>
      <c r="J76" s="1" t="s">
        <v>770</v>
      </c>
    </row>
    <row r="77" spans="2:10">
      <c r="B77" s="899" t="s">
        <v>771</v>
      </c>
      <c r="C77" s="914">
        <f>'A1. Identification'!D14</f>
        <v>0</v>
      </c>
      <c r="D77" s="133"/>
      <c r="E77" s="915" t="s">
        <v>772</v>
      </c>
      <c r="F77" s="916">
        <f>'A1. Identification'!D15</f>
        <v>0</v>
      </c>
      <c r="H77" s="1"/>
      <c r="I77" s="915" t="s">
        <v>773</v>
      </c>
      <c r="J77" s="917">
        <f>'A1. Identification'!D16</f>
        <v>0</v>
      </c>
    </row>
    <row r="78" spans="2:10" ht="9.75" customHeight="1">
      <c r="B78" s="918"/>
      <c r="C78" s="133"/>
      <c r="D78" s="133"/>
      <c r="E78" s="133"/>
      <c r="G78" s="131"/>
      <c r="H78" s="1"/>
      <c r="I78" s="1"/>
    </row>
    <row r="79" spans="2:10" ht="17.45">
      <c r="B79" s="892" t="s">
        <v>29</v>
      </c>
      <c r="C79" s="909"/>
      <c r="D79" s="909"/>
      <c r="E79" s="909"/>
      <c r="F79" s="132"/>
      <c r="G79" s="656"/>
      <c r="H79" s="656"/>
      <c r="I79" s="656"/>
    </row>
    <row r="80" spans="2:10" ht="9.75" customHeight="1">
      <c r="B80" s="892"/>
      <c r="C80" s="909"/>
      <c r="D80" s="909"/>
      <c r="E80" s="909"/>
      <c r="F80" s="132"/>
      <c r="G80" s="656"/>
      <c r="H80" s="656"/>
      <c r="I80" s="656"/>
    </row>
    <row r="81" spans="2:12">
      <c r="C81" s="1" t="s">
        <v>774</v>
      </c>
      <c r="E81" s="119"/>
      <c r="F81" s="1"/>
      <c r="G81" s="134"/>
      <c r="H81" s="134"/>
      <c r="I81" s="895"/>
    </row>
    <row r="82" spans="2:12">
      <c r="B82" s="899" t="s">
        <v>775</v>
      </c>
      <c r="C82" s="890">
        <f>'A1. Identification'!D17</f>
        <v>0</v>
      </c>
      <c r="D82" s="135"/>
      <c r="E82" s="119"/>
      <c r="F82" s="127"/>
      <c r="G82" s="134"/>
      <c r="H82" s="134"/>
      <c r="I82" s="895"/>
    </row>
    <row r="83" spans="2:12">
      <c r="C83" s="136" t="str">
        <f>IF(AND(C82="",F8=""),"WARNING: Signing Officer and License Number are needed to complete attestation.","")</f>
        <v/>
      </c>
      <c r="D83" s="135"/>
      <c r="E83" s="119"/>
      <c r="G83" s="134"/>
      <c r="H83" s="134"/>
      <c r="I83" s="895"/>
      <c r="J83" s="894"/>
    </row>
    <row r="84" spans="2:12">
      <c r="C84" s="657" t="str">
        <f>IF(C82="","[The attestation text will appear once box 4C is completed]","Attestation")</f>
        <v>Attestation</v>
      </c>
      <c r="D84" s="135"/>
      <c r="E84" s="119"/>
      <c r="G84" s="134"/>
      <c r="H84" s="134"/>
      <c r="I84" s="895"/>
      <c r="J84" s="894"/>
    </row>
    <row r="85" spans="2:12" ht="37.15" customHeight="1">
      <c r="C85" s="919" t="str">
        <f>IF(C82=0,"","I, "&amp;C82&amp;", confirm that:")</f>
        <v/>
      </c>
      <c r="E85" s="920"/>
      <c r="F85" s="920"/>
      <c r="G85" s="920"/>
      <c r="H85" s="920"/>
      <c r="I85" s="920"/>
      <c r="J85" s="895"/>
    </row>
    <row r="86" spans="2:12" ht="37.15" customHeight="1">
      <c r="C86" s="921" t="str">
        <f>IF(C82=0,""," I have signing authority with respect to licence # "&amp;F8&amp;".")</f>
        <v/>
      </c>
      <c r="E86" s="920"/>
      <c r="F86" s="920"/>
      <c r="G86" s="920"/>
      <c r="H86" s="920"/>
      <c r="I86" s="920"/>
      <c r="J86" s="895"/>
    </row>
    <row r="87" spans="2:12" ht="63" customHeight="1">
      <c r="C87" s="921" t="str">
        <f>IF(C82=0,"","The information contained in this Standardized Financial Report for the reporting year 2025 is accurate and a true reflection of the eligible costs incurred by the licensee for which cost-based funding was used.")</f>
        <v/>
      </c>
      <c r="E87" s="920"/>
      <c r="F87" s="920"/>
      <c r="G87" s="920"/>
      <c r="H87" s="920"/>
      <c r="I87" s="920"/>
      <c r="J87" s="895"/>
    </row>
    <row r="88" spans="2:12" ht="49.9" customHeight="1">
      <c r="C88" s="921" t="str">
        <f>IF(C82=0,"","Cost-based allocation funding was used by the licensee to cover eligible costs only in accordance with the parameters established by "&amp;F9&amp;". ")</f>
        <v/>
      </c>
      <c r="E88" s="920"/>
      <c r="F88" s="920"/>
      <c r="G88" s="920"/>
      <c r="H88" s="920"/>
      <c r="I88" s="920"/>
      <c r="K88" s="1"/>
    </row>
    <row r="89" spans="2:12" ht="26.25" customHeight="1">
      <c r="C89" s="922" t="s">
        <v>31</v>
      </c>
      <c r="D89" s="922"/>
      <c r="E89" s="922"/>
      <c r="F89" s="846" t="s">
        <v>776</v>
      </c>
      <c r="G89" s="1"/>
      <c r="H89" s="1"/>
      <c r="I89" s="1"/>
      <c r="K89" s="1"/>
    </row>
    <row r="90" spans="2:12" ht="20.100000000000001">
      <c r="C90" s="923">
        <f>'A1. Identification'!D26</f>
        <v>0</v>
      </c>
      <c r="D90" s="137"/>
      <c r="E90" s="924" t="s">
        <v>777</v>
      </c>
      <c r="F90" s="925">
        <f>'A1. Identification'!D28</f>
        <v>0</v>
      </c>
      <c r="G90" s="658"/>
      <c r="H90" s="658"/>
      <c r="I90" s="658"/>
      <c r="K90" s="1"/>
    </row>
    <row r="91" spans="2:12" ht="30" hidden="1">
      <c r="F91" s="119" t="s">
        <v>376</v>
      </c>
      <c r="G91" s="138"/>
      <c r="H91" s="138"/>
      <c r="I91" s="138"/>
      <c r="J91" s="894"/>
      <c r="K91" s="1"/>
      <c r="L91" s="894"/>
    </row>
    <row r="92" spans="2:12" ht="19.899999999999999" hidden="1" customHeight="1">
      <c r="G92" s="138"/>
      <c r="H92" s="138"/>
      <c r="I92" s="138"/>
      <c r="J92" s="894"/>
      <c r="K92" s="1"/>
      <c r="L92" s="894"/>
    </row>
    <row r="93" spans="2:12" ht="15" hidden="1">
      <c r="G93" s="659"/>
      <c r="H93" s="659"/>
      <c r="I93" s="659"/>
      <c r="K93" s="1"/>
      <c r="L93" s="894"/>
    </row>
    <row r="94" spans="2:12" hidden="1">
      <c r="L94" s="894"/>
    </row>
    <row r="95" spans="2:12" hidden="1">
      <c r="J95" s="894"/>
      <c r="L95" s="894"/>
    </row>
    <row r="96" spans="2:12" hidden="1">
      <c r="J96" s="894"/>
      <c r="L96" s="894"/>
    </row>
  </sheetData>
  <sheetProtection algorithmName="SHA-512" hashValue="YJc/+ThmCq24Bd37QbuJNbG7zGnSYk1LYG0tIP8IxWTRXtJsQtNHNZ0TRMPoUKOzlPDu1b3XmSDXdrXH79omjw==" saltValue="/54Sr9YZ5vC9JF1VzpyGhg==" spinCount="100000" sheet="1" objects="1" scenarios="1"/>
  <mergeCells count="1">
    <mergeCell ref="A1:J1"/>
  </mergeCells>
  <conditionalFormatting sqref="C85:C88">
    <cfRule type="notContainsBlanks" dxfId="16" priority="4">
      <formula>LEN(TRIM(C85))&gt;0</formula>
    </cfRule>
  </conditionalFormatting>
  <conditionalFormatting sqref="C90:D90">
    <cfRule type="notContainsBlanks" dxfId="15" priority="6">
      <formula>LEN(TRIM(C90))&gt;0</formula>
    </cfRule>
  </conditionalFormatting>
  <conditionalFormatting sqref="F8:F14 C77:D77 F77 J77 C78:E78 G78 C79:I80 C82:D82 D83:D84">
    <cfRule type="cellIs" dxfId="14" priority="7" operator="notEqual">
      <formula>""</formula>
    </cfRule>
  </conditionalFormatting>
  <conditionalFormatting sqref="F70">
    <cfRule type="cellIs" dxfId="13" priority="2" operator="notEqual">
      <formula>""</formula>
    </cfRule>
  </conditionalFormatting>
  <conditionalFormatting sqref="F74">
    <cfRule type="cellIs" dxfId="12" priority="1" operator="notEqual">
      <formula>""</formula>
    </cfRule>
  </conditionalFormatting>
  <conditionalFormatting sqref="F21:G21 F23:G32">
    <cfRule type="cellIs" dxfId="11" priority="3" operator="notEqual">
      <formula>""</formula>
    </cfRule>
  </conditionalFormatting>
  <conditionalFormatting sqref="F90:I90">
    <cfRule type="cellIs" dxfId="10" priority="5" operator="notEqual">
      <formula>""</formula>
    </cfRule>
  </conditionalFormatting>
  <conditionalFormatting sqref="G44:I45">
    <cfRule type="top10" dxfId="9" priority="9" percent="1" rank="10"/>
  </conditionalFormatting>
  <conditionalFormatting sqref="J18 J21 J23:J32 F38:F39 H38:H39 F46:F51 F54 F57:F66 I76">
    <cfRule type="cellIs" dxfId="8" priority="8" operator="notEqual">
      <formula>""</formula>
    </cfRule>
  </conditionalFormatting>
  <dataValidations count="17">
    <dataValidation type="decimal" allowBlank="1" showInputMessage="1" showErrorMessage="1" error="Must be a number between 0 and the sum of all eligible costs incurred for the eligible centre, AFTER one-time, unexpected costs" prompt="A “child with special needs” means a child whose cognitive, physical, social, emotional or communicative needs, or whose needs relating to overall development, are of such a nature that additional supports are required for the child." sqref="F74" xr:uid="{FD6D88C5-AFE8-414E-8C07-8F92E6790443}">
      <formula1>0</formula1>
      <formula2>F72</formula2>
    </dataValidation>
    <dataValidation type="custom" allowBlank="1" showInputMessage="1" showErrorMessage="1" error="Please enter valid email address" sqref="J77" xr:uid="{4D57F20C-CDF2-4493-9724-EDA4AFB03A12}">
      <formula1>AND(ISNUMBER(SEARCH("@", J77)), ISNUMBER(SEARCH(".", J77)), SEARCH("@", J77) &gt; 1)</formula1>
    </dataValidation>
    <dataValidation type="decimal" operator="greaterThan" allowBlank="1" showInputMessage="1" showErrorMessage="1" error="Must be an amount greater than 0." sqref="F38" xr:uid="{2C4FB892-6327-47BC-B2E7-B6DD9FF98A52}">
      <formula1>0</formula1>
    </dataValidation>
    <dataValidation type="decimal" operator="greaterThanOrEqual" allowBlank="1" showInputMessage="1" showErrorMessage="1" error="Must be an amount greater than or equal to 0." sqref="F39" xr:uid="{968AA76A-C7DC-4A10-9D9D-2ADCAB7EA9E7}">
      <formula1>0</formula1>
    </dataValidation>
    <dataValidation type="date" operator="greaterThanOrEqual" allowBlank="1" showInputMessage="1" showErrorMessage="1" error="Must be a date not earlier than today's date" sqref="F90" xr:uid="{43D4E2E2-D063-4794-93E7-66CB9B720DD9}">
      <formula1>TODAY()</formula1>
    </dataValidation>
    <dataValidation type="textLength" operator="equal" allowBlank="1" showInputMessage="1" showErrorMessage="1" error="Please enter 10 digit phone number" prompt="Please enter 10 digit phone number" sqref="F77" xr:uid="{04D210F5-F25A-401B-9AAD-A005B2C7B967}">
      <formula1>10</formula1>
    </dataValidation>
    <dataValidation type="textLength" operator="lessThanOrEqual" allowBlank="1" showInputMessage="1" showErrorMessage="1" error="Must be 50 letters or less" sqref="C77" xr:uid="{BD456414-8805-4BCA-B2B2-37E0AF3E3A27}">
      <formula1>50</formula1>
    </dataValidation>
    <dataValidation type="decimal" allowBlank="1" showInputMessage="1" showErrorMessage="1" error="Must be a number between 0 and 100" sqref="F51" xr:uid="{0D5B973C-D478-4621-BF9E-AE971C29D1FC}">
      <formula1>0</formula1>
      <formula2>100</formula2>
    </dataValidation>
    <dataValidation type="decimal" operator="greaterThan" allowBlank="1" showInputMessage="1" showErrorMessage="1" error="Must be an amount greater than or equal to zero." sqref="F70 F46:F50 F54 F57:F66" xr:uid="{2A018F60-0C4F-47FB-BFE4-5350008C2752}">
      <formula1>0</formula1>
    </dataValidation>
    <dataValidation type="whole" operator="greaterThanOrEqual" allowBlank="1" showInputMessage="1" showErrorMessage="1" error="Must be a number greater than or equal to 0" sqref="J21 J23:J32" xr:uid="{FFD3A96F-51A4-4894-9821-56A65068F673}">
      <formula1>0</formula1>
    </dataValidation>
    <dataValidation allowBlank="1" showInputMessage="1" showErrorMessage="1" prompt="Please enter phone number as (###) ### - ###" sqref="H79:H80" xr:uid="{32779968-D646-4DBC-BDDF-33388F8AA6BF}"/>
    <dataValidation type="list" allowBlank="1" showInputMessage="1" showErrorMessage="1" error="Please select from drop-down list" sqref="F12 F23:F32" xr:uid="{8A35FC35-944E-4D05-9C00-F2F48CB3091F}">
      <formula1>SSMs</formula1>
    </dataValidation>
    <dataValidation type="whole" operator="greaterThan" allowBlank="1" showInputMessage="1" showErrorMessage="1" error="Must be a number greater than 0" prompt="For example, 5 active homes for 261 service days and 1 active home for 365 service days would be (5 x 261) + (1 x 365) = 1,670 active home-days" sqref="J18" xr:uid="{B227051B-D62D-429F-BB83-8969AB0583B9}">
      <formula1>0</formula1>
    </dataValidation>
    <dataValidation type="whole" operator="greaterThan" allowBlank="1" showInputMessage="1" showErrorMessage="1" sqref="H38" xr:uid="{A7C6D212-1FBF-4728-883E-F881240BD7FC}">
      <formula1>0</formula1>
    </dataValidation>
    <dataValidation type="whole" operator="greaterThanOrEqual" allowBlank="1" showInputMessage="1" showErrorMessage="1" sqref="H39" xr:uid="{E1E234CD-3F0D-4297-AC7A-936614DC5979}">
      <formula1>0</formula1>
    </dataValidation>
    <dataValidation type="date" allowBlank="1" showInputMessage="1" showErrorMessage="1" error="Date must be between April 1st, 2022 and December 31, 2025" prompt="(yyyy-mm-dd)" sqref="F11" xr:uid="{831E8D06-82CD-40FF-87E0-CC13E3AA8A42}">
      <formula1>44652</formula1>
      <formula2>46022</formula2>
    </dataValidation>
    <dataValidation type="whole" allowBlank="1" showInputMessage="1" showErrorMessage="1" error="Must be greater than zero and less than  365" sqref="G19:I19" xr:uid="{575E7E51-2D67-4143-B995-0D466EAA7510}">
      <formula1>0</formula1>
      <formula2>365</formula2>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4AD89-6736-43FD-A7F1-933B5E971042}">
  <sheetPr>
    <tabColor rgb="FFFFC000"/>
  </sheetPr>
  <dimension ref="A1:XFD78"/>
  <sheetViews>
    <sheetView showGridLines="0" workbookViewId="0">
      <selection activeCell="C46" sqref="C46"/>
    </sheetView>
  </sheetViews>
  <sheetFormatPr defaultColWidth="9.140625" defaultRowHeight="15" zeroHeight="1"/>
  <cols>
    <col min="1" max="1" width="3.140625" style="1" customWidth="1"/>
    <col min="2" max="2" width="8.42578125" style="1" customWidth="1"/>
    <col min="3" max="3" width="124.140625" style="1" bestFit="1" customWidth="1"/>
    <col min="4" max="4" width="8.42578125" style="819" customWidth="1"/>
    <col min="5" max="5" width="35.5703125" style="139" customWidth="1"/>
    <col min="6" max="6" width="10.5703125" style="140" customWidth="1"/>
    <col min="7" max="16382" width="0" style="1" hidden="1" customWidth="1"/>
    <col min="16383" max="16383" width="16" style="1" customWidth="1"/>
    <col min="16384" max="16384" width="16.140625" style="1" customWidth="1"/>
  </cols>
  <sheetData>
    <row r="1" spans="1:11 16383:16384" ht="26.1">
      <c r="A1" s="1160" t="s">
        <v>583</v>
      </c>
      <c r="B1" s="1161"/>
      <c r="C1" s="1161"/>
      <c r="D1" s="1161"/>
      <c r="E1" s="1161"/>
      <c r="F1" s="1161"/>
      <c r="G1" s="1162"/>
      <c r="XFC1" s="106" t="s">
        <v>1</v>
      </c>
      <c r="XFD1" s="107" t="str">
        <f>'A11.Licensee''s SFR&amp; Attestation'!L1</f>
        <v xml:space="preserve"> </v>
      </c>
    </row>
    <row r="2" spans="1:11 16383:16384" ht="15.6">
      <c r="XFC2" s="106" t="s">
        <v>3</v>
      </c>
      <c r="XFD2" s="107" t="str">
        <f>'A11.Licensee''s SFR&amp; Attestation'!L2</f>
        <v>Please enter Ministry licence number on tab A6 row 7</v>
      </c>
    </row>
    <row r="3" spans="1:11 16383:16384" s="825" customFormat="1" ht="48.75" customHeight="1">
      <c r="A3" s="820" t="s">
        <v>699</v>
      </c>
      <c r="B3" s="821"/>
      <c r="C3" s="822"/>
      <c r="D3" s="823"/>
      <c r="E3" s="115"/>
      <c r="F3" s="824"/>
    </row>
    <row r="4" spans="1:11 16383:16384" ht="20.100000000000001">
      <c r="A4" s="826"/>
      <c r="B4" s="827"/>
      <c r="C4" s="827"/>
      <c r="D4" s="828"/>
    </row>
    <row r="5" spans="1:11 16383:16384">
      <c r="A5" s="827"/>
      <c r="B5" s="827"/>
      <c r="C5" s="827"/>
      <c r="D5" s="828"/>
    </row>
    <row r="6" spans="1:11 16383:16384" ht="17.45">
      <c r="B6" s="829" t="s">
        <v>700</v>
      </c>
      <c r="C6" s="829"/>
      <c r="D6" s="829"/>
      <c r="E6" s="119"/>
      <c r="F6" s="119"/>
      <c r="H6"/>
      <c r="I6"/>
      <c r="J6" s="830"/>
    </row>
    <row r="7" spans="1:11 16383:16384" ht="15.6">
      <c r="B7" s="831" t="s">
        <v>701</v>
      </c>
      <c r="C7" s="600"/>
      <c r="D7" s="600"/>
      <c r="E7" s="119"/>
      <c r="F7" s="119"/>
      <c r="H7"/>
      <c r="I7"/>
      <c r="J7" s="830"/>
      <c r="K7" s="827"/>
    </row>
    <row r="8" spans="1:11 16383:16384" s="120" customFormat="1">
      <c r="C8" s="832" t="s">
        <v>778</v>
      </c>
      <c r="D8" s="644"/>
      <c r="E8" s="141" t="s">
        <v>711</v>
      </c>
      <c r="G8" s="660"/>
      <c r="K8" s="833"/>
    </row>
    <row r="9" spans="1:11 16383:16384" s="120" customFormat="1">
      <c r="C9" s="832" t="s">
        <v>702</v>
      </c>
      <c r="D9" s="661" t="s">
        <v>703</v>
      </c>
      <c r="E9" s="680">
        <f>'A11.Licensee''s SFR&amp; Attestation'!F8</f>
        <v>0</v>
      </c>
      <c r="G9" s="662"/>
      <c r="J9" s="834"/>
      <c r="K9" s="833"/>
    </row>
    <row r="10" spans="1:11 16383:16384" s="120" customFormat="1">
      <c r="C10" s="832" t="s">
        <v>779</v>
      </c>
      <c r="D10" s="661" t="s">
        <v>705</v>
      </c>
      <c r="E10" s="680">
        <f>'A11.Licensee''s SFR&amp; Attestation'!F9</f>
        <v>0</v>
      </c>
      <c r="G10" s="662"/>
      <c r="J10" s="834"/>
    </row>
    <row r="11" spans="1:11 16383:16384" s="120" customFormat="1">
      <c r="C11" s="832" t="s">
        <v>780</v>
      </c>
      <c r="D11" s="661" t="s">
        <v>716</v>
      </c>
      <c r="E11" s="663">
        <v>2025</v>
      </c>
      <c r="G11" s="664"/>
      <c r="K11" s="833"/>
    </row>
    <row r="12" spans="1:11 16383:16384" s="120" customFormat="1" ht="8.25" customHeight="1">
      <c r="C12" s="832"/>
      <c r="D12" s="644"/>
      <c r="E12" s="124"/>
      <c r="G12" s="124"/>
      <c r="K12" s="833"/>
    </row>
    <row r="13" spans="1:11 16383:16384">
      <c r="A13" s="827"/>
      <c r="B13" s="835" t="s">
        <v>781</v>
      </c>
    </row>
    <row r="14" spans="1:11 16383:16384">
      <c r="A14" s="827"/>
      <c r="B14" s="831" t="s">
        <v>782</v>
      </c>
    </row>
    <row r="15" spans="1:11 16383:16384" ht="35.450000000000003" customHeight="1">
      <c r="C15" s="836" t="s">
        <v>783</v>
      </c>
      <c r="D15" s="837" t="s">
        <v>784</v>
      </c>
      <c r="E15" s="838">
        <f>'A2.Operating Plan'!D21</f>
        <v>0</v>
      </c>
      <c r="F15" s="665"/>
    </row>
    <row r="16" spans="1:11 16383:16384">
      <c r="C16" s="834" t="s">
        <v>785</v>
      </c>
      <c r="D16" s="837" t="s">
        <v>786</v>
      </c>
      <c r="E16" s="838">
        <f>+'A9. SummaryOfReconciliations '!C21+'A9. SummaryOfReconciliations '!C14</f>
        <v>0</v>
      </c>
      <c r="F16" s="144"/>
    </row>
    <row r="17" spans="1:11" s="120" customFormat="1" ht="8.25" customHeight="1">
      <c r="C17" s="832"/>
      <c r="D17" s="644"/>
      <c r="E17" s="124"/>
      <c r="G17" s="124"/>
      <c r="K17" s="833"/>
    </row>
    <row r="18" spans="1:11">
      <c r="A18" s="827"/>
      <c r="B18" s="831" t="s">
        <v>787</v>
      </c>
    </row>
    <row r="19" spans="1:11">
      <c r="A19" s="827"/>
      <c r="B19" s="831" t="s">
        <v>788</v>
      </c>
      <c r="F19" s="666"/>
    </row>
    <row r="20" spans="1:11">
      <c r="A20" s="827"/>
      <c r="C20" s="832" t="s">
        <v>789</v>
      </c>
      <c r="D20" s="839" t="s">
        <v>790</v>
      </c>
      <c r="E20" s="840">
        <f>SUM('A2.Operating Plan'!D11:D14)</f>
        <v>0</v>
      </c>
      <c r="F20" s="145"/>
    </row>
    <row r="21" spans="1:11">
      <c r="A21" s="827"/>
      <c r="C21" s="146" t="s">
        <v>791</v>
      </c>
      <c r="D21" s="839" t="s">
        <v>792</v>
      </c>
      <c r="E21" s="840">
        <f>+'A2.Operating Plan'!D15</f>
        <v>0</v>
      </c>
      <c r="F21" s="145"/>
    </row>
    <row r="22" spans="1:11">
      <c r="A22" s="827"/>
      <c r="C22" s="146" t="s">
        <v>793</v>
      </c>
      <c r="D22" s="839" t="s">
        <v>794</v>
      </c>
      <c r="E22" s="840">
        <f>+'A2.Operating Plan'!D16</f>
        <v>0</v>
      </c>
      <c r="F22" s="145"/>
    </row>
    <row r="23" spans="1:11">
      <c r="A23" s="827"/>
      <c r="C23" s="841" t="s">
        <v>795</v>
      </c>
      <c r="D23" s="842"/>
      <c r="E23" s="147">
        <f>SUM(E20:E22)</f>
        <v>0</v>
      </c>
      <c r="F23" s="145"/>
    </row>
    <row r="24" spans="1:11">
      <c r="C24" s="146" t="s">
        <v>796</v>
      </c>
      <c r="D24" s="839" t="s">
        <v>797</v>
      </c>
      <c r="E24" s="840">
        <f>+'A2.Operating Plan'!D20</f>
        <v>0</v>
      </c>
      <c r="F24" s="145"/>
    </row>
    <row r="25" spans="1:11">
      <c r="C25" s="146" t="s">
        <v>798</v>
      </c>
      <c r="D25" s="839" t="s">
        <v>799</v>
      </c>
      <c r="E25" s="840">
        <f>'A2.Operating Plan'!D18</f>
        <v>0</v>
      </c>
      <c r="F25" s="148"/>
    </row>
    <row r="26" spans="1:11">
      <c r="A26" s="827"/>
      <c r="C26" s="841" t="s">
        <v>800</v>
      </c>
      <c r="D26" s="842"/>
      <c r="E26" s="147">
        <f>SUM(E23:E25)</f>
        <v>0</v>
      </c>
      <c r="F26" s="149"/>
    </row>
    <row r="27" spans="1:11">
      <c r="A27" s="843"/>
      <c r="C27" s="844" t="s">
        <v>801</v>
      </c>
      <c r="D27" s="839" t="s">
        <v>802</v>
      </c>
      <c r="E27" s="840">
        <f>E16</f>
        <v>0</v>
      </c>
      <c r="F27" s="145"/>
    </row>
    <row r="28" spans="1:11" s="120" customFormat="1" ht="8.25" customHeight="1">
      <c r="C28" s="832"/>
      <c r="D28" s="644"/>
      <c r="E28" s="124"/>
      <c r="G28" s="124"/>
      <c r="K28" s="833"/>
    </row>
    <row r="29" spans="1:11">
      <c r="B29" s="845" t="s">
        <v>803</v>
      </c>
      <c r="E29" s="142"/>
      <c r="F29" s="150"/>
    </row>
    <row r="30" spans="1:11">
      <c r="B30" s="831" t="s">
        <v>804</v>
      </c>
      <c r="E30" s="846"/>
    </row>
    <row r="31" spans="1:11">
      <c r="B31" s="847"/>
      <c r="C31" s="848" t="s">
        <v>805</v>
      </c>
      <c r="D31" s="849"/>
      <c r="E31" s="147">
        <f>'A11.Licensee''s SFR&amp; Attestation'!F68</f>
        <v>0</v>
      </c>
      <c r="F31" s="667"/>
    </row>
    <row r="32" spans="1:11">
      <c r="B32" s="847"/>
      <c r="C32" s="850" t="s">
        <v>806</v>
      </c>
      <c r="D32" s="851"/>
      <c r="E32" s="153">
        <f>E23</f>
        <v>0</v>
      </c>
      <c r="F32" s="145"/>
    </row>
    <row r="33" spans="1:11">
      <c r="C33" s="852" t="s">
        <v>807</v>
      </c>
      <c r="D33" s="839" t="s">
        <v>808</v>
      </c>
      <c r="E33" s="668">
        <f>MIN(E31,E32)</f>
        <v>0</v>
      </c>
      <c r="F33" s="145"/>
    </row>
    <row r="34" spans="1:11" s="120" customFormat="1" ht="8.25" customHeight="1">
      <c r="C34" s="832"/>
      <c r="D34" s="644"/>
      <c r="E34" s="124"/>
      <c r="G34" s="124"/>
      <c r="K34" s="833"/>
    </row>
    <row r="35" spans="1:11">
      <c r="B35" s="845" t="s">
        <v>809</v>
      </c>
      <c r="C35" s="843"/>
      <c r="D35" s="828"/>
      <c r="E35" s="142"/>
    </row>
    <row r="36" spans="1:11">
      <c r="B36" s="831" t="s">
        <v>810</v>
      </c>
      <c r="E36" s="142"/>
    </row>
    <row r="37" spans="1:11" s="120" customFormat="1">
      <c r="C37" s="850" t="s">
        <v>811</v>
      </c>
      <c r="D37" s="851"/>
      <c r="E37" s="152">
        <f>4.25%*E33</f>
        <v>0</v>
      </c>
      <c r="F37" s="145"/>
    </row>
    <row r="38" spans="1:11" s="120" customFormat="1" ht="30">
      <c r="C38" s="850" t="s">
        <v>812</v>
      </c>
      <c r="D38" s="851"/>
      <c r="E38" s="669">
        <f>3.5%*MIN(E33,E20)</f>
        <v>0</v>
      </c>
      <c r="F38" s="145"/>
    </row>
    <row r="39" spans="1:11" s="120" customFormat="1" ht="30">
      <c r="C39" s="850" t="s">
        <v>813</v>
      </c>
      <c r="D39" s="851"/>
      <c r="E39" s="670">
        <f>'A7. 2025 CWELCC'!D70</f>
        <v>0</v>
      </c>
      <c r="F39" s="853"/>
    </row>
    <row r="40" spans="1:11">
      <c r="C40" s="854" t="s">
        <v>814</v>
      </c>
      <c r="D40" s="839" t="s">
        <v>815</v>
      </c>
      <c r="E40" s="671">
        <f>ROUND(SUM(E37:E39),0)</f>
        <v>0</v>
      </c>
      <c r="F40" s="145"/>
    </row>
    <row r="41" spans="1:11" s="120" customFormat="1" ht="8.25" customHeight="1">
      <c r="C41" s="832"/>
      <c r="D41" s="644"/>
      <c r="E41" s="124"/>
      <c r="G41" s="124"/>
      <c r="K41" s="833"/>
    </row>
    <row r="42" spans="1:11">
      <c r="B42" s="845" t="s">
        <v>816</v>
      </c>
      <c r="C42" s="843"/>
      <c r="D42" s="828"/>
      <c r="E42" s="142"/>
    </row>
    <row r="43" spans="1:11">
      <c r="B43" s="831" t="s">
        <v>817</v>
      </c>
      <c r="E43" s="846"/>
    </row>
    <row r="44" spans="1:11">
      <c r="B44" s="855"/>
      <c r="C44" s="1" t="s">
        <v>818</v>
      </c>
      <c r="E44" s="153">
        <f>'A11.Licensee''s SFR&amp; Attestation'!F38</f>
        <v>0</v>
      </c>
      <c r="F44" s="145"/>
    </row>
    <row r="45" spans="1:11">
      <c r="B45" s="855"/>
      <c r="C45" s="1" t="s">
        <v>819</v>
      </c>
      <c r="E45" s="153">
        <f>'A11.Licensee''s SFR&amp; Attestation'!F39</f>
        <v>0</v>
      </c>
      <c r="F45" s="145"/>
    </row>
    <row r="46" spans="1:11">
      <c r="B46" s="855"/>
      <c r="C46" s="1" t="s">
        <v>820</v>
      </c>
      <c r="E46" s="153">
        <f>-E25</f>
        <v>0</v>
      </c>
      <c r="F46" s="154"/>
    </row>
    <row r="47" spans="1:11">
      <c r="A47" s="843"/>
      <c r="C47" s="854" t="s">
        <v>821</v>
      </c>
      <c r="D47" s="839" t="s">
        <v>822</v>
      </c>
      <c r="E47" s="671">
        <f>MAX(E46,E44+E45)</f>
        <v>0</v>
      </c>
      <c r="F47" s="145"/>
    </row>
    <row r="48" spans="1:11" s="120" customFormat="1" ht="8.25" customHeight="1">
      <c r="C48" s="832"/>
      <c r="D48" s="644"/>
      <c r="E48" s="124"/>
      <c r="G48" s="124"/>
      <c r="K48" s="833"/>
    </row>
    <row r="49" spans="1:11">
      <c r="A49" s="843"/>
      <c r="B49" s="845" t="s">
        <v>823</v>
      </c>
      <c r="C49" s="843"/>
      <c r="D49" s="828"/>
      <c r="E49" s="155"/>
    </row>
    <row r="50" spans="1:11">
      <c r="A50" s="843"/>
      <c r="B50" s="831" t="s">
        <v>824</v>
      </c>
      <c r="C50" s="843"/>
      <c r="D50" s="828"/>
      <c r="E50" s="155"/>
    </row>
    <row r="51" spans="1:11">
      <c r="A51" s="843"/>
      <c r="B51" s="845"/>
      <c r="C51" s="1" t="s">
        <v>725</v>
      </c>
      <c r="E51" s="151">
        <f>+E33</f>
        <v>0</v>
      </c>
      <c r="F51" s="145"/>
    </row>
    <row r="52" spans="1:11">
      <c r="A52" s="843"/>
      <c r="B52" s="845"/>
      <c r="C52" s="1" t="s">
        <v>825</v>
      </c>
      <c r="E52" s="151">
        <f>+E40</f>
        <v>0</v>
      </c>
      <c r="F52" s="145"/>
    </row>
    <row r="53" spans="1:11">
      <c r="A53" s="843"/>
      <c r="B53" s="845"/>
      <c r="C53" s="1" t="s">
        <v>826</v>
      </c>
      <c r="E53" s="153">
        <f>-E47</f>
        <v>0</v>
      </c>
      <c r="F53" s="154"/>
    </row>
    <row r="54" spans="1:11">
      <c r="C54" s="854" t="s">
        <v>827</v>
      </c>
      <c r="D54" s="839" t="s">
        <v>828</v>
      </c>
      <c r="E54" s="671">
        <f>SUM(E51:E53)</f>
        <v>0</v>
      </c>
      <c r="F54" s="145"/>
    </row>
    <row r="55" spans="1:11" s="120" customFormat="1" ht="8.25" customHeight="1">
      <c r="C55" s="832"/>
      <c r="D55" s="644"/>
      <c r="E55" s="124"/>
      <c r="G55" s="124"/>
      <c r="K55" s="833"/>
    </row>
    <row r="56" spans="1:11">
      <c r="A56" s="843"/>
      <c r="B56" s="856" t="s">
        <v>829</v>
      </c>
      <c r="C56" s="857"/>
      <c r="D56" s="858"/>
      <c r="E56" s="143"/>
    </row>
    <row r="57" spans="1:11">
      <c r="A57" s="843"/>
      <c r="B57" s="831" t="s">
        <v>830</v>
      </c>
      <c r="C57" s="857"/>
      <c r="D57" s="858"/>
      <c r="E57" s="156"/>
    </row>
    <row r="58" spans="1:11">
      <c r="C58" s="859" t="s">
        <v>831</v>
      </c>
      <c r="E58" s="151">
        <f>+E15</f>
        <v>0</v>
      </c>
      <c r="F58" s="145"/>
    </row>
    <row r="59" spans="1:11">
      <c r="B59" s="860"/>
      <c r="C59" s="859" t="s">
        <v>832</v>
      </c>
      <c r="E59" s="151">
        <f>+E54</f>
        <v>0</v>
      </c>
      <c r="F59" s="145"/>
    </row>
    <row r="60" spans="1:11">
      <c r="C60" s="854" t="str" cm="1">
        <f t="array" ref="C60">+_xlfn.IFS(E60=0,"= No amount due", E60&lt;0,"= Payable to the licensee in respect Actual Cost-Based Funding", 1,"= Overpayment. Amount payable to the CMSM/DSSAB in respect of Actual Cost-Based Funding")</f>
        <v>= No amount due</v>
      </c>
      <c r="D60" s="839" t="s">
        <v>833</v>
      </c>
      <c r="E60" s="671">
        <f>E58-E59</f>
        <v>0</v>
      </c>
      <c r="F60" s="672"/>
    </row>
    <row r="61" spans="1:11" s="120" customFormat="1" ht="8.25" customHeight="1">
      <c r="C61" s="832"/>
      <c r="D61" s="644"/>
      <c r="E61" s="124"/>
      <c r="G61" s="124"/>
      <c r="K61" s="833"/>
    </row>
    <row r="62" spans="1:11">
      <c r="A62" s="843"/>
      <c r="B62" s="831" t="s">
        <v>834</v>
      </c>
      <c r="C62" s="857"/>
      <c r="D62" s="858"/>
      <c r="E62" s="156"/>
    </row>
    <row r="63" spans="1:11">
      <c r="A63" s="843"/>
      <c r="B63" s="861"/>
      <c r="C63" s="830" t="s">
        <v>801</v>
      </c>
      <c r="D63" s="862"/>
      <c r="E63" s="151">
        <f>+E27</f>
        <v>0</v>
      </c>
      <c r="F63" s="145"/>
    </row>
    <row r="64" spans="1:11">
      <c r="B64" s="863"/>
      <c r="C64" s="830" t="s">
        <v>835</v>
      </c>
      <c r="D64" s="862"/>
      <c r="E64" s="151">
        <f>'A11.Licensee''s SFR&amp; Attestation'!F70</f>
        <v>0</v>
      </c>
      <c r="F64" s="673"/>
    </row>
    <row r="65" spans="1:11">
      <c r="C65" s="830" t="s">
        <v>836</v>
      </c>
      <c r="D65" s="839" t="s">
        <v>837</v>
      </c>
      <c r="E65" s="668">
        <f>MIN(E63,E64)</f>
        <v>0</v>
      </c>
      <c r="F65" s="673"/>
    </row>
    <row r="66" spans="1:11">
      <c r="B66" s="864"/>
      <c r="C66" s="834" t="s">
        <v>838</v>
      </c>
      <c r="D66" s="862"/>
      <c r="E66" s="151">
        <f>+E16</f>
        <v>0</v>
      </c>
      <c r="F66" s="154"/>
    </row>
    <row r="67" spans="1:11">
      <c r="C67" s="865" t="str" cm="1">
        <f t="array" ref="C67">+_xlfn.IFS(E67=0,"= No amount due",E67&lt;0,"= Payable to the licensee in respect Actual Cost-Based Funding",1, "= Overpayment. Amount payable to the CMSM/DSSAB in respect of one-time, unexpected cost")</f>
        <v>= No amount due</v>
      </c>
      <c r="D67" s="839" t="s">
        <v>839</v>
      </c>
      <c r="E67" s="671">
        <f>E63-E65</f>
        <v>0</v>
      </c>
      <c r="F67" s="154"/>
    </row>
    <row r="68" spans="1:11" s="120" customFormat="1" ht="8.25" customHeight="1">
      <c r="C68" s="832"/>
      <c r="D68" s="644"/>
      <c r="E68" s="124"/>
      <c r="G68" s="124"/>
      <c r="K68" s="833"/>
    </row>
    <row r="69" spans="1:11">
      <c r="A69" s="843"/>
      <c r="B69" s="831" t="s">
        <v>840</v>
      </c>
      <c r="C69" s="857"/>
      <c r="D69" s="858"/>
      <c r="E69" s="156"/>
    </row>
    <row r="70" spans="1:11" ht="20.100000000000001">
      <c r="C70" s="866" t="str" cm="1">
        <f t="array" ref="C70">+_xlfn.IFS(E60=0,"= No amount due",E60&lt;0,"= Payable to the licensee",1,"= Overpayment payable to the CMSM/DSSAB")</f>
        <v>= No amount due</v>
      </c>
      <c r="D70" s="867"/>
      <c r="E70" s="674">
        <f>IF(SUM(E15:E16,E20:E22,E24:E25,E27)=0,0,E60+E67)</f>
        <v>0</v>
      </c>
      <c r="F70" s="157"/>
    </row>
    <row r="71" spans="1:11" s="120" customFormat="1" ht="8.25" customHeight="1">
      <c r="C71" s="832"/>
      <c r="D71" s="644"/>
      <c r="E71" s="124"/>
      <c r="G71" s="124"/>
      <c r="K71" s="833"/>
    </row>
    <row r="72" spans="1:11">
      <c r="A72" s="843"/>
      <c r="B72" s="856" t="s">
        <v>841</v>
      </c>
      <c r="C72" s="868"/>
      <c r="D72" s="869"/>
      <c r="E72" s="158"/>
    </row>
    <row r="73" spans="1:11">
      <c r="A73" s="843"/>
      <c r="B73" s="831" t="s">
        <v>842</v>
      </c>
      <c r="C73" s="868"/>
      <c r="D73" s="869"/>
      <c r="E73" s="158"/>
    </row>
    <row r="74" spans="1:11">
      <c r="A74" s="843"/>
      <c r="B74" s="856"/>
      <c r="C74" s="859" t="s">
        <v>843</v>
      </c>
      <c r="D74" s="869"/>
      <c r="E74" s="159">
        <f>E51</f>
        <v>0</v>
      </c>
    </row>
    <row r="75" spans="1:11">
      <c r="A75" s="843"/>
      <c r="B75" s="856"/>
      <c r="C75" s="859" t="s">
        <v>844</v>
      </c>
      <c r="D75" s="869"/>
      <c r="E75" s="159">
        <f>BenchmarkAllocation</f>
        <v>0</v>
      </c>
    </row>
    <row r="76" spans="1:11">
      <c r="A76" s="827"/>
      <c r="B76" s="870"/>
      <c r="C76" s="871" t="str">
        <f>"= Rolling Top-up Ratio for "&amp;E11+1</f>
        <v>= Rolling Top-up Ratio for 2026</v>
      </c>
      <c r="D76" s="839" t="s">
        <v>845</v>
      </c>
      <c r="E76" s="690" t="e" cm="1">
        <f t="array" ref="E76">_xlfn.IFS(BenchmarkAllocation="","",ActualProgramCosts-BenchmarkAllocation&lt;0,0,1,ROUND((ActualProgramCosts-BenchmarkAllocation)/BenchmarkAllocation,4))</f>
        <v>#DIV/0!</v>
      </c>
      <c r="F76" s="160"/>
    </row>
    <row r="77" spans="1:11" s="120" customFormat="1" ht="8.25" customHeight="1">
      <c r="C77" s="832"/>
      <c r="D77" s="644"/>
      <c r="E77" s="124"/>
      <c r="G77" s="124"/>
      <c r="K77" s="833"/>
    </row>
    <row r="78" spans="1:11">
      <c r="B78" s="831" t="s">
        <v>846</v>
      </c>
      <c r="D78" s="839" t="s">
        <v>847</v>
      </c>
      <c r="E78" s="872"/>
    </row>
  </sheetData>
  <sheetProtection algorithmName="SHA-512" hashValue="GXh05CeBYVf89zZSNFb/MPf2tZpbgBHwOrYWaBzsUIOjJLD+PdVS2/C7CgJq+N88DVf7NUJWbZeX45zj9cEfDA==" saltValue="Eugx71J0KQqKKbcmWguY1g==" spinCount="100000" sheet="1" objects="1" scenarios="1"/>
  <mergeCells count="1">
    <mergeCell ref="A1:G1"/>
  </mergeCells>
  <conditionalFormatting sqref="E8:E11 G8:G11">
    <cfRule type="cellIs" dxfId="7" priority="2" operator="notEqual">
      <formula>""</formula>
    </cfRule>
  </conditionalFormatting>
  <conditionalFormatting sqref="E15:E16 E20:E22 E24:E25 E27">
    <cfRule type="notContainsBlanks" dxfId="6" priority="3">
      <formula>LEN(TRIM(E15))&gt;0</formula>
    </cfRule>
  </conditionalFormatting>
  <conditionalFormatting sqref="E78">
    <cfRule type="cellIs" dxfId="5" priority="1" operator="notEqual">
      <formula>""</formula>
    </cfRule>
  </conditionalFormatting>
  <dataValidations count="5">
    <dataValidation type="date" operator="greaterThanOrEqual" allowBlank="1" showInputMessage="1" showErrorMessage="1" error="Must be a date not earlier than today's date" sqref="E78" xr:uid="{A3AE05C0-BABC-459C-A744-75F423D1A9F4}">
      <formula1>TODAY()</formula1>
    </dataValidation>
    <dataValidation type="decimal" operator="lessThan" allowBlank="1" showInputMessage="1" showErrorMessage="1" error="Must be an amount less than 0." sqref="E25" xr:uid="{B419F328-6BE1-4004-84FA-84A1AFE290A9}">
      <formula1>0</formula1>
    </dataValidation>
    <dataValidation type="decimal" operator="greaterThanOrEqual" allowBlank="1" showInputMessage="1" showErrorMessage="1" error="Must be an amount greater than or equal to 0." sqref="E16 E27" xr:uid="{9FEA4B42-C339-4AAA-83A8-0F43B7890398}">
      <formula1>0</formula1>
    </dataValidation>
    <dataValidation type="decimal" operator="greaterThan" allowBlank="1" showInputMessage="1" showErrorMessage="1" error="Must be an amount greater than 0." sqref="E15 E20:E22 E24" xr:uid="{23190069-F0C0-4559-8062-01FB4C4749DA}">
      <formula1>0</formula1>
    </dataValidation>
    <dataValidation type="date" allowBlank="1" showInputMessage="1" showErrorMessage="1" error="Date must between April 1st, 2022 and December 31, 2025" prompt="(yyyy-mm-dd)" sqref="G8" xr:uid="{FE7E9BC0-C87E-4B3F-B076-FD602B4B4102}">
      <formula1>44652</formula1>
      <formula2>46022</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9E5F1-1EA7-4440-B707-D9C465AD22AD}">
  <sheetPr>
    <tabColor rgb="FFFF0000"/>
  </sheetPr>
  <dimension ref="A1:BT2"/>
  <sheetViews>
    <sheetView workbookViewId="0">
      <selection activeCell="J24" sqref="J24"/>
    </sheetView>
  </sheetViews>
  <sheetFormatPr defaultColWidth="9.140625" defaultRowHeight="14.45"/>
  <cols>
    <col min="1" max="1" width="11" customWidth="1"/>
    <col min="2" max="2" width="16.85546875" customWidth="1"/>
    <col min="3" max="3" width="16.7109375" customWidth="1"/>
    <col min="4" max="4" width="41" customWidth="1"/>
    <col min="5" max="5" width="17.7109375" customWidth="1"/>
    <col min="6" max="6" width="16.42578125" customWidth="1"/>
    <col min="7" max="7" width="14.5703125" customWidth="1"/>
    <col min="8" max="8" width="19.7109375" customWidth="1"/>
    <col min="9" max="9" width="27.7109375" customWidth="1"/>
    <col min="10" max="10" width="14.42578125" customWidth="1"/>
    <col min="11" max="11" width="19.7109375" customWidth="1"/>
    <col min="12" max="12" width="18.28515625" customWidth="1"/>
    <col min="13" max="14" width="20" customWidth="1"/>
    <col min="15" max="15" width="21.5703125" customWidth="1"/>
    <col min="16" max="16" width="16.7109375" customWidth="1"/>
    <col min="17" max="17" width="17.85546875" customWidth="1"/>
    <col min="18" max="18" width="16.140625" bestFit="1" customWidth="1"/>
    <col min="19" max="20" width="16.42578125" bestFit="1" customWidth="1"/>
    <col min="21" max="21" width="15" bestFit="1" customWidth="1"/>
    <col min="22" max="22" width="16.42578125" bestFit="1" customWidth="1"/>
    <col min="23" max="23" width="17.5703125" bestFit="1" customWidth="1"/>
    <col min="24" max="24" width="14.7109375" customWidth="1"/>
    <col min="25" max="25" width="14.85546875" bestFit="1" customWidth="1"/>
    <col min="26" max="26" width="14.28515625" bestFit="1" customWidth="1"/>
    <col min="27" max="27" width="12.85546875" customWidth="1"/>
    <col min="28" max="28" width="12" customWidth="1"/>
    <col min="29" max="29" width="11.85546875" customWidth="1"/>
    <col min="30" max="30" width="13.42578125" customWidth="1"/>
    <col min="31" max="31" width="12" customWidth="1"/>
    <col min="32" max="32" width="17.28515625" customWidth="1"/>
    <col min="33" max="33" width="10.5703125" customWidth="1"/>
    <col min="34" max="34" width="14.5703125" customWidth="1"/>
    <col min="35" max="35" width="16.5703125" customWidth="1"/>
    <col min="36" max="37" width="14.42578125" customWidth="1"/>
    <col min="38" max="38" width="17.140625" customWidth="1"/>
    <col min="39" max="39" width="15.7109375" customWidth="1"/>
    <col min="40" max="40" width="14.85546875" customWidth="1"/>
    <col min="41" max="41" width="16.7109375" bestFit="1" customWidth="1"/>
    <col min="42" max="42" width="13.28515625" customWidth="1"/>
    <col min="43" max="43" width="17.28515625" customWidth="1"/>
    <col min="44" max="44" width="13.85546875" bestFit="1" customWidth="1"/>
    <col min="45" max="45" width="12.42578125" bestFit="1" customWidth="1"/>
    <col min="46" max="46" width="12" customWidth="1"/>
    <col min="47" max="47" width="12.42578125" customWidth="1"/>
    <col min="48" max="48" width="14" customWidth="1"/>
    <col min="49" max="49" width="17.7109375" customWidth="1"/>
    <col min="50" max="50" width="15.140625" bestFit="1" customWidth="1"/>
    <col min="51" max="51" width="15" bestFit="1" customWidth="1"/>
    <col min="52" max="52" width="14.5703125" customWidth="1"/>
    <col min="53" max="53" width="12.42578125" customWidth="1"/>
    <col min="54" max="54" width="13.140625" customWidth="1"/>
    <col min="55" max="55" width="14.5703125" customWidth="1"/>
    <col min="56" max="56" width="14" customWidth="1"/>
    <col min="57" max="57" width="14.7109375" customWidth="1"/>
    <col min="58" max="60" width="14" customWidth="1"/>
    <col min="61" max="61" width="18.28515625" customWidth="1"/>
    <col min="62" max="62" width="17" customWidth="1"/>
    <col min="63" max="63" width="16.28515625" customWidth="1"/>
    <col min="64" max="64" width="14.7109375" customWidth="1"/>
    <col min="65" max="65" width="16.85546875" customWidth="1"/>
    <col min="66" max="66" width="15.140625" customWidth="1"/>
    <col min="67" max="67" width="14.7109375" customWidth="1"/>
    <col min="68" max="68" width="18.7109375" customWidth="1"/>
    <col min="69" max="69" width="18.5703125" customWidth="1"/>
    <col min="70" max="70" width="16.28515625" customWidth="1"/>
    <col min="71" max="71" width="19.140625" customWidth="1"/>
    <col min="72" max="72" width="29" customWidth="1"/>
  </cols>
  <sheetData>
    <row r="1" spans="1:72">
      <c r="A1" s="605" t="s">
        <v>848</v>
      </c>
      <c r="B1" s="605" t="s">
        <v>849</v>
      </c>
      <c r="C1" s="605" t="s">
        <v>850</v>
      </c>
      <c r="D1" s="605" t="s">
        <v>851</v>
      </c>
      <c r="E1" s="605" t="s">
        <v>852</v>
      </c>
      <c r="F1" s="605" t="s">
        <v>853</v>
      </c>
      <c r="G1" s="605" t="s">
        <v>854</v>
      </c>
      <c r="H1" s="605" t="s">
        <v>855</v>
      </c>
      <c r="I1" s="605" t="s">
        <v>856</v>
      </c>
      <c r="J1" s="605" t="s">
        <v>857</v>
      </c>
      <c r="K1" s="605" t="s">
        <v>858</v>
      </c>
      <c r="L1" s="606" t="s">
        <v>859</v>
      </c>
      <c r="M1" s="606" t="s">
        <v>860</v>
      </c>
      <c r="N1" s="606" t="s">
        <v>861</v>
      </c>
      <c r="O1" s="606" t="s">
        <v>862</v>
      </c>
      <c r="P1" s="606" t="s">
        <v>863</v>
      </c>
      <c r="Q1" s="684" t="s">
        <v>864</v>
      </c>
      <c r="R1" s="684" t="s">
        <v>865</v>
      </c>
      <c r="S1" s="684" t="s">
        <v>866</v>
      </c>
      <c r="T1" s="684" t="s">
        <v>867</v>
      </c>
      <c r="U1" s="684" t="s">
        <v>868</v>
      </c>
      <c r="V1" s="684" t="s">
        <v>869</v>
      </c>
      <c r="W1" s="684" t="s">
        <v>870</v>
      </c>
      <c r="X1" s="684" t="s">
        <v>871</v>
      </c>
      <c r="Y1" s="684" t="s">
        <v>872</v>
      </c>
      <c r="Z1" s="684" t="s">
        <v>873</v>
      </c>
      <c r="AA1" s="684" t="s">
        <v>874</v>
      </c>
      <c r="AB1" s="684" t="s">
        <v>875</v>
      </c>
      <c r="AC1" s="684" t="s">
        <v>876</v>
      </c>
      <c r="AD1" s="684" t="s">
        <v>877</v>
      </c>
      <c r="AE1" s="684" t="s">
        <v>878</v>
      </c>
      <c r="AF1" s="684" t="s">
        <v>879</v>
      </c>
      <c r="AG1" s="684" t="s">
        <v>880</v>
      </c>
      <c r="AH1" s="684" t="s">
        <v>881</v>
      </c>
      <c r="AI1" s="684" t="s">
        <v>882</v>
      </c>
      <c r="AJ1" s="684" t="s">
        <v>883</v>
      </c>
      <c r="AK1" s="684" t="s">
        <v>884</v>
      </c>
      <c r="AL1" s="684" t="s">
        <v>885</v>
      </c>
      <c r="AM1" s="684" t="s">
        <v>886</v>
      </c>
      <c r="AN1" s="684" t="s">
        <v>887</v>
      </c>
      <c r="AO1" s="684" t="s">
        <v>888</v>
      </c>
      <c r="AP1" s="684" t="s">
        <v>889</v>
      </c>
      <c r="AQ1" s="684" t="s">
        <v>890</v>
      </c>
      <c r="AR1" s="684" t="s">
        <v>891</v>
      </c>
      <c r="AS1" s="684" t="s">
        <v>892</v>
      </c>
      <c r="AT1" s="684" t="s">
        <v>893</v>
      </c>
      <c r="AU1" s="684" t="s">
        <v>894</v>
      </c>
      <c r="AV1" s="684" t="s">
        <v>895</v>
      </c>
      <c r="AW1" s="684" t="s">
        <v>896</v>
      </c>
      <c r="AX1" s="684" t="s">
        <v>897</v>
      </c>
      <c r="AY1" s="684" t="s">
        <v>898</v>
      </c>
      <c r="AZ1" s="684" t="s">
        <v>899</v>
      </c>
      <c r="BA1" s="684" t="s">
        <v>900</v>
      </c>
      <c r="BB1" s="684" t="s">
        <v>901</v>
      </c>
      <c r="BC1" s="685" t="s">
        <v>902</v>
      </c>
      <c r="BD1" s="685" t="s">
        <v>903</v>
      </c>
      <c r="BE1" s="685" t="s">
        <v>904</v>
      </c>
      <c r="BF1" s="685" t="s">
        <v>905</v>
      </c>
      <c r="BG1" s="685" t="s">
        <v>906</v>
      </c>
      <c r="BH1" s="685" t="s">
        <v>907</v>
      </c>
      <c r="BI1" s="685" t="s">
        <v>908</v>
      </c>
      <c r="BJ1" s="685" t="s">
        <v>909</v>
      </c>
      <c r="BK1" s="685" t="s">
        <v>910</v>
      </c>
      <c r="BL1" s="685" t="s">
        <v>911</v>
      </c>
      <c r="BM1" s="685" t="s">
        <v>912</v>
      </c>
      <c r="BN1" s="685" t="s">
        <v>913</v>
      </c>
      <c r="BO1" s="685" t="s">
        <v>914</v>
      </c>
      <c r="BP1" s="685" t="s">
        <v>915</v>
      </c>
      <c r="BQ1" s="685" t="s">
        <v>916</v>
      </c>
      <c r="BR1" s="685" t="s">
        <v>917</v>
      </c>
      <c r="BS1" s="685" t="s">
        <v>918</v>
      </c>
      <c r="BT1" s="607" t="s">
        <v>919</v>
      </c>
    </row>
    <row r="2" spans="1:72" ht="15.6">
      <c r="A2" s="603" t="str">
        <f>'A11.Licensee''s SFR&amp; Attestation'!F13</f>
        <v>232 </v>
      </c>
      <c r="B2" s="603">
        <f>'A11.Licensee''s SFR&amp; Attestation'!F8</f>
        <v>0</v>
      </c>
      <c r="C2" s="608">
        <f>'A11.Licensee''s SFR&amp; Attestation'!F9</f>
        <v>0</v>
      </c>
      <c r="D2" s="608">
        <f>'A11.Licensee''s SFR&amp; Attestation'!F10</f>
        <v>0</v>
      </c>
      <c r="E2" s="609">
        <f>'A11.Licensee''s SFR&amp; Attestation'!F11</f>
        <v>0</v>
      </c>
      <c r="F2">
        <f>'A11.Licensee''s SFR&amp; Attestation'!F14</f>
        <v>2025</v>
      </c>
      <c r="G2" s="608">
        <f>'A11.Licensee''s SFR&amp; Attestation'!C77</f>
        <v>0</v>
      </c>
      <c r="H2" s="608">
        <f>'A11.Licensee''s SFR&amp; Attestation'!F77</f>
        <v>0</v>
      </c>
      <c r="I2" s="608">
        <f>'A11.Licensee''s SFR&amp; Attestation'!J77</f>
        <v>0</v>
      </c>
      <c r="J2" s="608">
        <f>'A11.Licensee''s SFR&amp; Attestation'!C82</f>
        <v>0</v>
      </c>
      <c r="K2" s="609">
        <f>'A11.Licensee''s SFR&amp; Attestation'!F90</f>
        <v>0</v>
      </c>
      <c r="L2" s="610">
        <f>'A11.Licensee''s SFR&amp; Attestation'!J18</f>
        <v>0</v>
      </c>
      <c r="M2" s="610">
        <f>'A11.Licensee''s SFR&amp; Attestation'!J21</f>
        <v>0</v>
      </c>
      <c r="N2" s="610">
        <f>'A11.Licensee''s SFR&amp; Attestation'!J23</f>
        <v>0</v>
      </c>
      <c r="O2" s="610">
        <f>'A11.Licensee''s SFR&amp; Attestation'!J24</f>
        <v>0</v>
      </c>
      <c r="P2" s="610">
        <f>'A11.Licensee''s SFR&amp; Attestation'!J25</f>
        <v>0</v>
      </c>
      <c r="Q2" s="610">
        <f>'A11.Licensee''s SFR&amp; Attestation'!J26</f>
        <v>0</v>
      </c>
      <c r="R2" s="610">
        <f>'A11.Licensee''s SFR&amp; Attestation'!J27</f>
        <v>0</v>
      </c>
      <c r="S2" s="610">
        <f>'A11.Licensee''s SFR&amp; Attestation'!J28</f>
        <v>0</v>
      </c>
      <c r="T2" s="610">
        <f>'A11.Licensee''s SFR&amp; Attestation'!J29</f>
        <v>0</v>
      </c>
      <c r="U2" s="610">
        <f>'A11.Licensee''s SFR&amp; Attestation'!J30</f>
        <v>0</v>
      </c>
      <c r="V2" s="610">
        <f>'A11.Licensee''s SFR&amp; Attestation'!J31</f>
        <v>0</v>
      </c>
      <c r="W2" s="610">
        <f>'A11.Licensee''s SFR&amp; Attestation'!J32</f>
        <v>0</v>
      </c>
      <c r="X2" s="610" t="str">
        <f>'A11.Licensee''s SFR&amp; Attestation'!G23</f>
        <v/>
      </c>
      <c r="Y2" s="611" t="str">
        <f>'A11.Licensee''s SFR&amp; Attestation'!G24</f>
        <v/>
      </c>
      <c r="Z2" s="611" t="str">
        <f>'A11.Licensee''s SFR&amp; Attestation'!G25</f>
        <v/>
      </c>
      <c r="AA2" s="611" t="str">
        <f>'A11.Licensee''s SFR&amp; Attestation'!G26</f>
        <v/>
      </c>
      <c r="AB2" s="686" t="str">
        <f>'A11.Licensee''s SFR&amp; Attestation'!G27</f>
        <v/>
      </c>
      <c r="AC2" s="686">
        <f>'A11.Licensee''s SFR&amp; Attestation'!G28</f>
        <v>0</v>
      </c>
      <c r="AD2" s="686">
        <f>'A11.Licensee''s SFR&amp; Attestation'!G29</f>
        <v>0</v>
      </c>
      <c r="AE2" s="686">
        <f>'A11.Licensee''s SFR&amp; Attestation'!G30</f>
        <v>0</v>
      </c>
      <c r="AF2" s="171">
        <f>'A11.Licensee''s SFR&amp; Attestation'!G31</f>
        <v>0</v>
      </c>
      <c r="AG2" s="686">
        <f>'A11.Licensee''s SFR&amp; Attestation'!G32</f>
        <v>0</v>
      </c>
      <c r="AH2" s="612">
        <f>'A11.Licensee''s SFR&amp; Attestation'!F38</f>
        <v>0</v>
      </c>
      <c r="AI2" s="612">
        <f>'A11.Licensee''s SFR&amp; Attestation'!F39</f>
        <v>0</v>
      </c>
      <c r="AJ2" s="612">
        <f>'A11.Licensee''s SFR&amp; Attestation'!F46</f>
        <v>0</v>
      </c>
      <c r="AK2" s="612">
        <f>'A11.Licensee''s SFR&amp; Attestation'!F47</f>
        <v>0</v>
      </c>
      <c r="AL2" s="171">
        <f>'A11.Licensee''s SFR&amp; Attestation'!F48</f>
        <v>0</v>
      </c>
      <c r="AM2" s="612">
        <f>'A11.Licensee''s SFR&amp; Attestation'!F49</f>
        <v>0</v>
      </c>
      <c r="AN2" s="612">
        <f>'A11.Licensee''s SFR&amp; Attestation'!F50</f>
        <v>0</v>
      </c>
      <c r="AO2" s="687">
        <f>'A11.Licensee''s SFR&amp; Attestation'!F51</f>
        <v>0</v>
      </c>
      <c r="AP2" s="612">
        <f>'A11.Licensee''s SFR&amp; Attestation'!F54</f>
        <v>0</v>
      </c>
      <c r="AQ2" s="612">
        <f>'A11.Licensee''s SFR&amp; Attestation'!F57</f>
        <v>0</v>
      </c>
      <c r="AR2" s="612">
        <f>'A11.Licensee''s SFR&amp; Attestation'!F58</f>
        <v>0</v>
      </c>
      <c r="AS2" s="612">
        <f>'A11.Licensee''s SFR&amp; Attestation'!F59</f>
        <v>0</v>
      </c>
      <c r="AT2" s="612">
        <f>'A11.Licensee''s SFR&amp; Attestation'!F60</f>
        <v>0</v>
      </c>
      <c r="AU2" s="612">
        <f>'A11.Licensee''s SFR&amp; Attestation'!F61</f>
        <v>0</v>
      </c>
      <c r="AV2" s="612">
        <f>'A11.Licensee''s SFR&amp; Attestation'!F62</f>
        <v>0</v>
      </c>
      <c r="AW2" s="612">
        <f>'A11.Licensee''s SFR&amp; Attestation'!F63</f>
        <v>0</v>
      </c>
      <c r="AX2" s="612">
        <f>'A11.Licensee''s SFR&amp; Attestation'!F64</f>
        <v>0</v>
      </c>
      <c r="AY2" s="612">
        <f>'A11.Licensee''s SFR&amp; Attestation'!F65</f>
        <v>0</v>
      </c>
      <c r="AZ2" s="612">
        <f>'A11.Licensee''s SFR&amp; Attestation'!F66</f>
        <v>0</v>
      </c>
      <c r="BA2" s="612">
        <f>'A11.Licensee''s SFR&amp; Attestation'!F70</f>
        <v>0</v>
      </c>
      <c r="BB2" s="612">
        <f>'A11.Licensee''s SFR&amp; Attestation'!F74</f>
        <v>0</v>
      </c>
      <c r="BC2" s="612">
        <f>'A12. YND Reconciliation'!E15</f>
        <v>0</v>
      </c>
      <c r="BD2" s="612">
        <f>'A12. YND Reconciliation'!E16</f>
        <v>0</v>
      </c>
      <c r="BE2" s="612">
        <f>'A12. YND Reconciliation'!E20</f>
        <v>0</v>
      </c>
      <c r="BF2" s="612">
        <f>'A12. YND Reconciliation'!E21</f>
        <v>0</v>
      </c>
      <c r="BG2" s="612">
        <f>'A12. YND Reconciliation'!E22</f>
        <v>0</v>
      </c>
      <c r="BH2" s="612">
        <f>'A12. YND Reconciliation'!E24</f>
        <v>0</v>
      </c>
      <c r="BI2" s="612">
        <f>'A12. YND Reconciliation'!E25</f>
        <v>0</v>
      </c>
      <c r="BJ2" s="612">
        <f>'A12. YND Reconciliation'!E27</f>
        <v>0</v>
      </c>
      <c r="BK2" s="612">
        <f>'A12. YND Reconciliation'!E33</f>
        <v>0</v>
      </c>
      <c r="BL2" s="612">
        <f>'A12. YND Reconciliation'!E40</f>
        <v>0</v>
      </c>
      <c r="BM2" s="612">
        <f>'A12. YND Reconciliation'!E47</f>
        <v>0</v>
      </c>
      <c r="BN2" s="612">
        <f>'A12. YND Reconciliation'!E54</f>
        <v>0</v>
      </c>
      <c r="BO2" s="612">
        <f>'A12. YND Reconciliation'!E65</f>
        <v>0</v>
      </c>
      <c r="BP2" s="612">
        <f>'A12. YND Reconciliation'!E70</f>
        <v>0</v>
      </c>
      <c r="BQ2" s="612">
        <f>'A12. YND Reconciliation'!E67</f>
        <v>0</v>
      </c>
      <c r="BR2" s="613" t="e">
        <f>'A12. YND Reconciliation'!E76</f>
        <v>#DIV/0!</v>
      </c>
      <c r="BS2" s="614">
        <f>'A12. YND Reconciliation'!E78</f>
        <v>0</v>
      </c>
      <c r="BT2" s="52">
        <f>'A3. Peel Region Grants'!D74</f>
        <v>0</v>
      </c>
    </row>
  </sheetData>
  <sheetProtection algorithmName="SHA-512" hashValue="jl7LV3LbroX7Ayq5MZNvaoyN5UV7THMs/MXL7MErZuXFpT++S5K4bdB7vQnbLzTM/ew4ySxQe5YqKw+S7i0eBg==" saltValue="vMIql86L9Gg8OQewLuj06Q==" spinCount="100000" sheet="1" objects="1" scenario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6AB0C-5CFC-450C-8955-4D92FB0D3BE9}">
  <sheetPr>
    <tabColor rgb="FFFF0000"/>
  </sheetPr>
  <dimension ref="A1:C49"/>
  <sheetViews>
    <sheetView workbookViewId="0">
      <selection activeCell="L5" sqref="K5:L5"/>
    </sheetView>
  </sheetViews>
  <sheetFormatPr defaultRowHeight="14.45"/>
  <cols>
    <col min="1" max="1" width="24.7109375" customWidth="1"/>
    <col min="2" max="2" width="18.140625" customWidth="1"/>
    <col min="3" max="3" width="30.42578125" customWidth="1"/>
  </cols>
  <sheetData>
    <row r="1" spans="1:3">
      <c r="A1" s="631" t="s">
        <v>920</v>
      </c>
      <c r="B1" s="632" t="s">
        <v>920</v>
      </c>
      <c r="C1" s="633" t="s">
        <v>921</v>
      </c>
    </row>
    <row r="2" spans="1:3">
      <c r="A2" s="634" t="s">
        <v>922</v>
      </c>
      <c r="B2" s="635" t="s">
        <v>923</v>
      </c>
      <c r="C2" s="636"/>
    </row>
    <row r="3" spans="1:3" ht="39">
      <c r="A3" s="637" t="s">
        <v>924</v>
      </c>
      <c r="B3" s="638" t="s">
        <v>925</v>
      </c>
      <c r="C3" s="639" t="s">
        <v>926</v>
      </c>
    </row>
    <row r="4" spans="1:3">
      <c r="A4" s="637" t="s">
        <v>927</v>
      </c>
      <c r="B4" s="638" t="s">
        <v>928</v>
      </c>
      <c r="C4" s="639" t="s">
        <v>929</v>
      </c>
    </row>
    <row r="5" spans="1:3">
      <c r="A5" s="637" t="s">
        <v>930</v>
      </c>
      <c r="B5" s="638" t="s">
        <v>931</v>
      </c>
      <c r="C5" s="639" t="s">
        <v>932</v>
      </c>
    </row>
    <row r="6" spans="1:3" ht="26.1">
      <c r="A6" s="637" t="s">
        <v>933</v>
      </c>
      <c r="B6" s="638" t="s">
        <v>934</v>
      </c>
      <c r="C6" s="639" t="s">
        <v>935</v>
      </c>
    </row>
    <row r="7" spans="1:3" ht="39">
      <c r="A7" s="637" t="s">
        <v>936</v>
      </c>
      <c r="B7" s="638" t="s">
        <v>937</v>
      </c>
      <c r="C7" s="639" t="s">
        <v>938</v>
      </c>
    </row>
    <row r="8" spans="1:3">
      <c r="A8" s="637" t="s">
        <v>939</v>
      </c>
      <c r="B8" s="638" t="s">
        <v>940</v>
      </c>
      <c r="C8" s="639" t="s">
        <v>941</v>
      </c>
    </row>
    <row r="9" spans="1:3">
      <c r="A9" s="637" t="s">
        <v>942</v>
      </c>
      <c r="B9" s="638" t="s">
        <v>943</v>
      </c>
      <c r="C9" s="639" t="s">
        <v>944</v>
      </c>
    </row>
    <row r="10" spans="1:3" ht="26.1">
      <c r="A10" s="637" t="s">
        <v>945</v>
      </c>
      <c r="B10" s="638" t="s">
        <v>946</v>
      </c>
      <c r="C10" s="639" t="s">
        <v>947</v>
      </c>
    </row>
    <row r="11" spans="1:3" ht="26.1">
      <c r="A11" s="637" t="s">
        <v>948</v>
      </c>
      <c r="B11" s="638" t="s">
        <v>949</v>
      </c>
      <c r="C11" s="639" t="s">
        <v>950</v>
      </c>
    </row>
    <row r="12" spans="1:3">
      <c r="A12" s="637" t="s">
        <v>951</v>
      </c>
      <c r="B12" s="638" t="s">
        <v>952</v>
      </c>
      <c r="C12" s="639" t="s">
        <v>953</v>
      </c>
    </row>
    <row r="13" spans="1:3" ht="26.1">
      <c r="A13" s="637" t="s">
        <v>954</v>
      </c>
      <c r="B13" s="638" t="s">
        <v>955</v>
      </c>
      <c r="C13" s="639" t="s">
        <v>956</v>
      </c>
    </row>
    <row r="14" spans="1:3">
      <c r="A14" s="637" t="s">
        <v>957</v>
      </c>
      <c r="B14" s="638" t="s">
        <v>958</v>
      </c>
      <c r="C14" s="639" t="s">
        <v>959</v>
      </c>
    </row>
    <row r="15" spans="1:3">
      <c r="A15" s="637" t="s">
        <v>960</v>
      </c>
      <c r="B15" s="638" t="s">
        <v>961</v>
      </c>
      <c r="C15" s="639" t="s">
        <v>962</v>
      </c>
    </row>
    <row r="16" spans="1:3">
      <c r="A16" s="637" t="s">
        <v>963</v>
      </c>
      <c r="B16" s="638" t="s">
        <v>964</v>
      </c>
      <c r="C16" s="639" t="s">
        <v>965</v>
      </c>
    </row>
    <row r="17" spans="1:3" ht="26.1">
      <c r="A17" s="637" t="s">
        <v>966</v>
      </c>
      <c r="B17" s="638" t="s">
        <v>967</v>
      </c>
      <c r="C17" s="639" t="s">
        <v>968</v>
      </c>
    </row>
    <row r="18" spans="1:3" ht="26.1">
      <c r="A18" s="637" t="s">
        <v>969</v>
      </c>
      <c r="B18" s="638" t="s">
        <v>970</v>
      </c>
      <c r="C18" s="639" t="s">
        <v>971</v>
      </c>
    </row>
    <row r="19" spans="1:3">
      <c r="A19" s="637" t="s">
        <v>972</v>
      </c>
      <c r="B19" s="638" t="s">
        <v>973</v>
      </c>
      <c r="C19" s="639" t="s">
        <v>974</v>
      </c>
    </row>
    <row r="20" spans="1:3">
      <c r="A20" s="637" t="s">
        <v>975</v>
      </c>
      <c r="B20" s="638" t="s">
        <v>976</v>
      </c>
      <c r="C20" s="639" t="s">
        <v>977</v>
      </c>
    </row>
    <row r="21" spans="1:3">
      <c r="A21" s="637" t="s">
        <v>978</v>
      </c>
      <c r="B21" s="638" t="s">
        <v>979</v>
      </c>
      <c r="C21" s="639" t="s">
        <v>980</v>
      </c>
    </row>
    <row r="22" spans="1:3" ht="26.1">
      <c r="A22" s="637" t="s">
        <v>981</v>
      </c>
      <c r="B22" s="638" t="s">
        <v>982</v>
      </c>
      <c r="C22" s="639" t="s">
        <v>983</v>
      </c>
    </row>
    <row r="23" spans="1:3" ht="26.1">
      <c r="A23" s="637" t="s">
        <v>984</v>
      </c>
      <c r="B23" s="638" t="s">
        <v>985</v>
      </c>
      <c r="C23" s="639" t="s">
        <v>986</v>
      </c>
    </row>
    <row r="24" spans="1:3">
      <c r="A24" s="637" t="s">
        <v>987</v>
      </c>
      <c r="B24" s="638" t="s">
        <v>988</v>
      </c>
      <c r="C24" s="639" t="s">
        <v>989</v>
      </c>
    </row>
    <row r="25" spans="1:3" ht="39">
      <c r="A25" s="637" t="s">
        <v>990</v>
      </c>
      <c r="B25" s="638" t="s">
        <v>991</v>
      </c>
      <c r="C25" s="639" t="s">
        <v>992</v>
      </c>
    </row>
    <row r="26" spans="1:3" ht="26.1">
      <c r="A26" s="637" t="s">
        <v>993</v>
      </c>
      <c r="B26" s="638" t="s">
        <v>994</v>
      </c>
      <c r="C26" s="639" t="s">
        <v>995</v>
      </c>
    </row>
    <row r="27" spans="1:3" ht="26.1">
      <c r="A27" s="637" t="s">
        <v>996</v>
      </c>
      <c r="B27" s="638" t="s">
        <v>997</v>
      </c>
      <c r="C27" s="639" t="s">
        <v>998</v>
      </c>
    </row>
    <row r="28" spans="1:3" ht="39">
      <c r="A28" s="637" t="s">
        <v>999</v>
      </c>
      <c r="B28" s="638" t="s">
        <v>1000</v>
      </c>
      <c r="C28" s="639" t="s">
        <v>1001</v>
      </c>
    </row>
    <row r="29" spans="1:3">
      <c r="A29" s="637" t="s">
        <v>1002</v>
      </c>
      <c r="B29" s="638" t="s">
        <v>1002</v>
      </c>
      <c r="C29" s="639" t="s">
        <v>1003</v>
      </c>
    </row>
    <row r="30" spans="1:3" ht="26.1">
      <c r="A30" s="637" t="s">
        <v>1004</v>
      </c>
      <c r="B30" s="638" t="s">
        <v>1005</v>
      </c>
      <c r="C30" s="639" t="s">
        <v>1006</v>
      </c>
    </row>
    <row r="31" spans="1:3">
      <c r="A31" s="637" t="s">
        <v>1007</v>
      </c>
      <c r="B31" s="638" t="s">
        <v>1008</v>
      </c>
      <c r="C31" s="639" t="s">
        <v>1009</v>
      </c>
    </row>
    <row r="32" spans="1:3">
      <c r="A32" s="637" t="s">
        <v>1010</v>
      </c>
      <c r="B32" s="638" t="s">
        <v>1011</v>
      </c>
      <c r="C32" s="639" t="s">
        <v>1012</v>
      </c>
    </row>
    <row r="33" spans="1:3" ht="39">
      <c r="A33" s="637" t="s">
        <v>1013</v>
      </c>
      <c r="B33" s="638" t="s">
        <v>1014</v>
      </c>
      <c r="C33" s="639" t="s">
        <v>1015</v>
      </c>
    </row>
    <row r="34" spans="1:3" ht="26.1">
      <c r="A34" s="637" t="s">
        <v>1016</v>
      </c>
      <c r="B34" s="638" t="s">
        <v>711</v>
      </c>
      <c r="C34" s="639" t="s">
        <v>714</v>
      </c>
    </row>
    <row r="35" spans="1:3">
      <c r="A35" s="637" t="s">
        <v>1017</v>
      </c>
      <c r="B35" s="638" t="s">
        <v>1018</v>
      </c>
      <c r="C35" s="639" t="s">
        <v>1019</v>
      </c>
    </row>
    <row r="36" spans="1:3" ht="26.1">
      <c r="A36" s="637" t="s">
        <v>1020</v>
      </c>
      <c r="B36" s="638" t="s">
        <v>1021</v>
      </c>
      <c r="C36" s="639" t="s">
        <v>1022</v>
      </c>
    </row>
    <row r="37" spans="1:3" ht="39">
      <c r="A37" s="637" t="s">
        <v>1023</v>
      </c>
      <c r="B37" s="638" t="s">
        <v>1024</v>
      </c>
      <c r="C37" s="639" t="s">
        <v>1025</v>
      </c>
    </row>
    <row r="38" spans="1:3">
      <c r="A38" s="637" t="s">
        <v>1026</v>
      </c>
      <c r="B38" s="638" t="s">
        <v>1027</v>
      </c>
      <c r="C38" s="639" t="s">
        <v>1028</v>
      </c>
    </row>
    <row r="39" spans="1:3" ht="51.95">
      <c r="A39" s="637" t="s">
        <v>1029</v>
      </c>
      <c r="B39" s="638" t="s">
        <v>1030</v>
      </c>
      <c r="C39" s="639" t="s">
        <v>1031</v>
      </c>
    </row>
    <row r="40" spans="1:3">
      <c r="A40" s="637" t="s">
        <v>1032</v>
      </c>
      <c r="B40" s="638" t="s">
        <v>1033</v>
      </c>
      <c r="C40" s="639" t="s">
        <v>1034</v>
      </c>
    </row>
    <row r="41" spans="1:3">
      <c r="A41" s="637" t="s">
        <v>1035</v>
      </c>
      <c r="B41" s="638" t="s">
        <v>1036</v>
      </c>
      <c r="C41" s="639" t="s">
        <v>1037</v>
      </c>
    </row>
    <row r="42" spans="1:3">
      <c r="A42" s="637" t="s">
        <v>1038</v>
      </c>
      <c r="B42" s="638" t="s">
        <v>1039</v>
      </c>
      <c r="C42" s="639" t="s">
        <v>1040</v>
      </c>
    </row>
    <row r="43" spans="1:3" ht="39">
      <c r="A43" s="637" t="s">
        <v>1041</v>
      </c>
      <c r="B43" s="638" t="s">
        <v>1042</v>
      </c>
      <c r="C43" s="639" t="s">
        <v>1043</v>
      </c>
    </row>
    <row r="44" spans="1:3" ht="39">
      <c r="A44" s="637" t="s">
        <v>1044</v>
      </c>
      <c r="B44" s="638" t="s">
        <v>1045</v>
      </c>
      <c r="C44" s="639" t="s">
        <v>1046</v>
      </c>
    </row>
    <row r="45" spans="1:3">
      <c r="A45" s="637" t="s">
        <v>1047</v>
      </c>
      <c r="B45" s="638" t="s">
        <v>1048</v>
      </c>
      <c r="C45" s="639" t="s">
        <v>1049</v>
      </c>
    </row>
    <row r="46" spans="1:3" ht="26.1">
      <c r="A46" s="637" t="s">
        <v>1050</v>
      </c>
      <c r="B46" s="638" t="s">
        <v>1051</v>
      </c>
      <c r="C46" s="639" t="s">
        <v>1052</v>
      </c>
    </row>
    <row r="47" spans="1:3">
      <c r="A47" s="637" t="s">
        <v>1053</v>
      </c>
      <c r="B47" s="638" t="s">
        <v>1054</v>
      </c>
      <c r="C47" s="639" t="s">
        <v>1055</v>
      </c>
    </row>
    <row r="48" spans="1:3">
      <c r="A48" s="637" t="s">
        <v>1056</v>
      </c>
      <c r="B48" s="638" t="s">
        <v>1057</v>
      </c>
      <c r="C48" s="639" t="s">
        <v>1058</v>
      </c>
    </row>
    <row r="49" spans="1:3" ht="26.1">
      <c r="A49" s="640" t="s">
        <v>1059</v>
      </c>
      <c r="B49" s="641" t="s">
        <v>1060</v>
      </c>
      <c r="C49" s="642" t="s">
        <v>1061</v>
      </c>
    </row>
  </sheetData>
  <sheetProtection algorithmName="SHA-512" hashValue="5eEjYTXRJUt2UiC2YUwPiOg+Pq9Muhqvly2i+iHs9PiJJDB80BGplZoeaJxFq7wiLCfvDUHPB0guPUd86CuZ7Q==" saltValue="NF17Jw82T04UHuAOOUutUw=="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FF83E-7795-4754-AFA5-F2E210B16458}">
  <sheetPr>
    <tabColor rgb="FFFF0000"/>
  </sheetPr>
  <dimension ref="A1:W19"/>
  <sheetViews>
    <sheetView showGridLines="0" zoomScaleNormal="100" workbookViewId="0">
      <selection activeCell="L2" sqref="L2"/>
    </sheetView>
  </sheetViews>
  <sheetFormatPr defaultColWidth="9.140625" defaultRowHeight="14.45"/>
  <cols>
    <col min="1" max="1" width="31.5703125" style="2" customWidth="1"/>
    <col min="2" max="2" width="20.5703125" style="926" customWidth="1"/>
    <col min="3" max="3" width="20.140625" style="926" customWidth="1"/>
    <col min="4" max="4" width="1.42578125" style="926" customWidth="1"/>
    <col min="5" max="5" width="17.42578125" style="926" bestFit="1" customWidth="1"/>
    <col min="6" max="6" width="2.5703125" style="926" customWidth="1"/>
    <col min="7" max="7" width="9" style="926" bestFit="1" customWidth="1"/>
    <col min="8" max="8" width="12.42578125" style="926" customWidth="1"/>
    <col min="9" max="9" width="12.5703125" style="926" customWidth="1"/>
    <col min="10" max="10" width="11.140625" style="926" bestFit="1" customWidth="1"/>
    <col min="11" max="11" width="2.5703125" style="926" customWidth="1"/>
    <col min="12" max="12" width="9" style="926" bestFit="1" customWidth="1"/>
    <col min="13" max="13" width="2.5703125" style="926" customWidth="1"/>
    <col min="14" max="14" width="17.42578125" style="926" bestFit="1" customWidth="1"/>
    <col min="15" max="15" width="2" style="64" customWidth="1"/>
    <col min="16" max="16" width="2.5703125" style="926" customWidth="1"/>
    <col min="17" max="17" width="15.5703125" style="926" bestFit="1" customWidth="1"/>
    <col min="18" max="18" width="9.42578125" style="926" customWidth="1"/>
    <col min="19" max="25" width="9.42578125" style="2" customWidth="1"/>
    <col min="26" max="16384" width="9.140625" style="2"/>
  </cols>
  <sheetData>
    <row r="1" spans="1:23" ht="23.45">
      <c r="A1" s="297" t="str">
        <f>IF('A1. Identification'!D7=0, "2025 FAIR, CWELCC and OTEF Reconciliation for Single Site Operators",'A1. Identification'!D7)</f>
        <v>2025 FAIR, CWELCC and OTEF Reconciliation for Single Site Operators</v>
      </c>
      <c r="B1" s="297"/>
      <c r="C1" s="297"/>
      <c r="D1" s="297"/>
      <c r="E1" s="297"/>
      <c r="F1" s="177"/>
      <c r="G1" s="177"/>
    </row>
    <row r="2" spans="1:23" ht="23.45">
      <c r="A2" s="63" t="s">
        <v>1062</v>
      </c>
      <c r="H2" s="927"/>
    </row>
    <row r="3" spans="1:23" ht="23.45">
      <c r="A3" s="63" t="str">
        <f>"For The Year Ended " &amp;TEXT('A1. Identification'!D8,"mmmm d, yyyy")</f>
        <v>For The Year Ended January 0, 1900</v>
      </c>
      <c r="H3" s="927"/>
    </row>
    <row r="4" spans="1:23" ht="15" thickBot="1"/>
    <row r="5" spans="1:23" ht="15" thickBot="1">
      <c r="A5" s="928"/>
      <c r="B5" s="929"/>
      <c r="C5" s="930"/>
      <c r="D5" s="930"/>
      <c r="E5" s="930"/>
      <c r="F5" s="931"/>
      <c r="G5" s="931"/>
      <c r="H5" s="931"/>
      <c r="I5" s="931"/>
      <c r="J5" s="931"/>
      <c r="K5" s="931"/>
      <c r="L5" s="931"/>
      <c r="M5" s="931"/>
      <c r="N5" s="931"/>
      <c r="O5" s="65"/>
      <c r="P5" s="931"/>
      <c r="Q5" s="932"/>
    </row>
    <row r="6" spans="1:23" ht="37.5">
      <c r="A6" s="933" t="s">
        <v>1063</v>
      </c>
      <c r="B6" s="931"/>
      <c r="C6" s="292" t="s">
        <v>1064</v>
      </c>
      <c r="D6" s="931"/>
      <c r="E6" s="292" t="s">
        <v>1065</v>
      </c>
      <c r="F6" s="934"/>
      <c r="G6" s="1176" t="s">
        <v>1066</v>
      </c>
      <c r="H6" s="1176"/>
      <c r="I6" s="1176"/>
      <c r="J6" s="1176"/>
      <c r="K6" s="934"/>
      <c r="L6" s="292" t="s">
        <v>1067</v>
      </c>
      <c r="M6" s="934"/>
      <c r="N6" s="292" t="s">
        <v>1068</v>
      </c>
      <c r="O6" s="65"/>
      <c r="P6" s="934"/>
      <c r="Q6" s="293" t="s">
        <v>1069</v>
      </c>
    </row>
    <row r="7" spans="1:23" customFormat="1">
      <c r="A7" s="935" t="s">
        <v>1070</v>
      </c>
      <c r="B7" s="936" t="s">
        <v>1071</v>
      </c>
      <c r="C7" s="937">
        <f>IFERROR('A4. Financial Position'!D12/'A4. Financial Position'!D32,0)</f>
        <v>0</v>
      </c>
      <c r="D7" s="938"/>
      <c r="E7" s="939" t="s">
        <v>1072</v>
      </c>
      <c r="F7" s="938"/>
      <c r="G7" s="939" t="s">
        <v>1073</v>
      </c>
      <c r="H7" s="1177" t="s">
        <v>1074</v>
      </c>
      <c r="I7" s="1177"/>
      <c r="J7" s="939" t="s">
        <v>1075</v>
      </c>
      <c r="K7" s="938"/>
      <c r="L7" s="940">
        <f>IF(C7="","",IF(AND(C7&gt;=0.25,C7&lt;1),50,IF(C7&gt;=1,100,IF(C7&lt;0.25,0))))</f>
        <v>0</v>
      </c>
      <c r="M7" s="938"/>
      <c r="N7" s="66">
        <v>0.3</v>
      </c>
      <c r="O7" s="294"/>
      <c r="P7" s="938"/>
      <c r="Q7" s="941">
        <f>L7*N7</f>
        <v>0</v>
      </c>
      <c r="R7" s="938"/>
    </row>
    <row r="8" spans="1:23" customFormat="1" ht="26.1">
      <c r="A8" s="935" t="s">
        <v>1076</v>
      </c>
      <c r="B8" s="942" t="s">
        <v>1077</v>
      </c>
      <c r="C8" s="943" t="e">
        <f>('A4. Financial Position'!D7+'A4. Financial Position'!D8+'A4. Financial Position'!D9)/(('A5. Operations'!D125-'A5. Operations'!D82-'A5. Operations'!D83)*1/12)</f>
        <v>#DIV/0!</v>
      </c>
      <c r="D8" s="938"/>
      <c r="E8" s="944" t="s">
        <v>1078</v>
      </c>
      <c r="F8" s="938"/>
      <c r="G8" s="939" t="s">
        <v>1079</v>
      </c>
      <c r="H8" s="1177" t="s">
        <v>1080</v>
      </c>
      <c r="I8" s="1177"/>
      <c r="J8" s="939" t="s">
        <v>1081</v>
      </c>
      <c r="K8" s="945"/>
      <c r="L8" s="946" t="e">
        <f>IF(C8="","",IF(AND(C8&gt;=1,C8&lt;3),50,IF(C8&gt;=3,100,IF(C8&lt;1,0))))</f>
        <v>#DIV/0!</v>
      </c>
      <c r="M8" s="938"/>
      <c r="N8" s="66">
        <v>0.1</v>
      </c>
      <c r="O8" s="294"/>
      <c r="P8" s="938"/>
      <c r="Q8" s="941" t="e">
        <f>L8*N8</f>
        <v>#DIV/0!</v>
      </c>
      <c r="R8" s="938"/>
      <c r="T8" s="947"/>
      <c r="U8" s="947"/>
    </row>
    <row r="9" spans="1:23" customFormat="1" ht="23.25" customHeight="1">
      <c r="A9" s="948" t="s">
        <v>1082</v>
      </c>
      <c r="B9" s="945"/>
      <c r="C9" s="945"/>
      <c r="D9" s="945"/>
      <c r="F9" s="945"/>
      <c r="G9" s="192"/>
      <c r="H9" s="192"/>
      <c r="I9" s="945"/>
      <c r="J9" s="192"/>
      <c r="K9" s="945"/>
      <c r="L9" s="603"/>
      <c r="M9" s="949"/>
      <c r="N9" s="603"/>
      <c r="O9" s="294"/>
      <c r="P9" s="949"/>
      <c r="Q9" s="950"/>
      <c r="R9" s="192"/>
      <c r="U9" s="951"/>
      <c r="V9" s="952"/>
      <c r="W9" s="953"/>
    </row>
    <row r="10" spans="1:23" customFormat="1">
      <c r="A10" s="935" t="s">
        <v>1083</v>
      </c>
      <c r="B10" s="936" t="s">
        <v>1084</v>
      </c>
      <c r="C10" s="937" t="e">
        <f>'A4. Financial Position'!D40/'A4. Financial Position'!D20</f>
        <v>#DIV/0!</v>
      </c>
      <c r="D10" s="938"/>
      <c r="E10" s="954" t="s">
        <v>1085</v>
      </c>
      <c r="F10" s="938"/>
      <c r="G10" s="955" t="s">
        <v>1086</v>
      </c>
      <c r="H10" s="1178" t="s">
        <v>1087</v>
      </c>
      <c r="I10" s="1178"/>
      <c r="J10" s="954" t="s">
        <v>1088</v>
      </c>
      <c r="K10" s="945"/>
      <c r="L10" s="956" t="e">
        <f>IF(C10="","",IF(AND(C10&gt;0.4,C10&lt;0.6),50,IF(C10&gt;=0.6,0,IF(C10&lt;=0.4,100))))</f>
        <v>#DIV/0!</v>
      </c>
      <c r="M10" s="938"/>
      <c r="N10" s="66">
        <v>0.3</v>
      </c>
      <c r="O10" s="294"/>
      <c r="P10" s="938"/>
      <c r="Q10" s="941" t="e">
        <f>L10*N10</f>
        <v>#DIV/0!</v>
      </c>
      <c r="R10" s="938"/>
      <c r="V10" s="952"/>
      <c r="W10" s="953"/>
    </row>
    <row r="11" spans="1:23" customFormat="1" ht="23.25" customHeight="1">
      <c r="A11" s="948" t="s">
        <v>1089</v>
      </c>
      <c r="B11" s="957"/>
      <c r="C11" s="938"/>
      <c r="D11" s="938"/>
      <c r="E11" s="938"/>
      <c r="F11" s="938"/>
      <c r="G11" s="938"/>
      <c r="H11" s="958"/>
      <c r="I11" s="958"/>
      <c r="J11" s="938"/>
      <c r="K11" s="938"/>
      <c r="L11" s="959"/>
      <c r="M11" s="938"/>
      <c r="N11" s="959"/>
      <c r="O11" s="294"/>
      <c r="P11" s="938"/>
      <c r="Q11" s="960"/>
      <c r="R11" s="938"/>
      <c r="V11" s="952"/>
      <c r="W11" s="953"/>
    </row>
    <row r="12" spans="1:23" customFormat="1">
      <c r="A12" s="935" t="s">
        <v>1090</v>
      </c>
      <c r="B12" s="936" t="s">
        <v>1091</v>
      </c>
      <c r="C12" s="67" t="e">
        <f>('A4. Financial Position'!D55/'A5. Operations'!D30)</f>
        <v>#DIV/0!</v>
      </c>
      <c r="D12" s="938"/>
      <c r="E12" s="955" t="s">
        <v>1092</v>
      </c>
      <c r="F12" s="938"/>
      <c r="G12" s="955" t="s">
        <v>1093</v>
      </c>
      <c r="H12" s="1179" t="s">
        <v>1094</v>
      </c>
      <c r="I12" s="1179"/>
      <c r="J12" s="955" t="s">
        <v>1095</v>
      </c>
      <c r="K12" s="938"/>
      <c r="L12" s="956" t="e">
        <f>IF(C12="","",IF(AND(C12&gt;=0,C12&lt;6%),75,IF(C12&gt;=6%,100,IF(C12&lt;0,0))))</f>
        <v>#DIV/0!</v>
      </c>
      <c r="M12" s="938"/>
      <c r="N12" s="66">
        <v>0.3</v>
      </c>
      <c r="O12" s="294"/>
      <c r="P12" s="938"/>
      <c r="Q12" s="941" t="e">
        <f>L12*N12</f>
        <v>#DIV/0!</v>
      </c>
      <c r="R12" s="938"/>
      <c r="V12" s="952"/>
      <c r="W12" s="953"/>
    </row>
    <row r="13" spans="1:23" customFormat="1">
      <c r="A13" s="935"/>
      <c r="B13" s="961"/>
      <c r="C13" s="74"/>
      <c r="D13" s="938"/>
      <c r="E13" s="945"/>
      <c r="F13" s="938"/>
      <c r="G13" s="945"/>
      <c r="H13" s="945"/>
      <c r="I13" s="945"/>
      <c r="J13" s="945"/>
      <c r="K13" s="938"/>
      <c r="L13" s="962"/>
      <c r="M13" s="938"/>
      <c r="N13" s="75"/>
      <c r="O13" s="294"/>
      <c r="P13" s="938"/>
      <c r="Q13" s="960"/>
      <c r="R13" s="938"/>
      <c r="V13" s="952"/>
      <c r="W13" s="953"/>
    </row>
    <row r="14" spans="1:23" customFormat="1">
      <c r="A14" s="71"/>
      <c r="B14" s="961"/>
      <c r="C14" s="938"/>
      <c r="D14" s="938"/>
      <c r="E14" s="945"/>
      <c r="F14" s="938"/>
      <c r="G14" s="945"/>
      <c r="H14" s="945"/>
      <c r="I14" s="945"/>
      <c r="J14" s="945"/>
      <c r="K14" s="938"/>
      <c r="L14" s="962"/>
      <c r="M14" s="938"/>
      <c r="N14" s="68"/>
      <c r="O14" s="295"/>
      <c r="P14" s="938"/>
      <c r="Q14" s="960"/>
      <c r="R14" s="938"/>
      <c r="V14" s="952"/>
      <c r="W14" s="953"/>
    </row>
    <row r="15" spans="1:23" ht="15.6">
      <c r="A15" s="167"/>
      <c r="B15" s="963"/>
      <c r="C15" s="964"/>
      <c r="D15" s="964"/>
      <c r="E15" s="964"/>
      <c r="F15" s="964"/>
      <c r="G15" s="964"/>
      <c r="H15" s="964"/>
      <c r="I15" s="964"/>
      <c r="J15" s="964"/>
      <c r="K15" s="964"/>
      <c r="L15" s="964"/>
      <c r="M15" s="964"/>
      <c r="N15" s="965" t="s">
        <v>1096</v>
      </c>
      <c r="O15" s="69"/>
      <c r="P15" s="964"/>
      <c r="Q15" s="966" t="e">
        <f>Q7+Q8+Q10+Q12</f>
        <v>#DIV/0!</v>
      </c>
      <c r="R15" s="964"/>
    </row>
    <row r="16" spans="1:23" ht="15" thickBot="1">
      <c r="A16" s="967"/>
      <c r="B16" s="968"/>
      <c r="C16" s="969"/>
      <c r="D16" s="969"/>
      <c r="E16" s="969"/>
      <c r="F16" s="969"/>
      <c r="G16" s="969"/>
      <c r="H16" s="969"/>
      <c r="I16" s="969"/>
      <c r="J16" s="969"/>
      <c r="K16" s="969"/>
      <c r="L16" s="969"/>
      <c r="M16" s="969"/>
      <c r="N16" s="969"/>
      <c r="O16" s="296"/>
      <c r="P16" s="969"/>
      <c r="Q16" s="970" t="e">
        <f>IF(Q15="","",IF(AND(Q15&gt;84,Q15&lt;=100),"Excellent",IF(AND(Q15&gt;69,Q15&lt;=84),"Good",IF(AND(Q15&gt;49,Q15&lt;=69),"Fair",IF(AND(Q15&gt;24,Q15&lt;=49),"Poor",IF(AND(Q15&gt;=0,Q15&lt;=24),"Very Poor",""))))))</f>
        <v>#DIV/0!</v>
      </c>
      <c r="R16" s="964"/>
    </row>
    <row r="17" spans="1:18" ht="23.45" thickBot="1">
      <c r="A17" s="971" t="s">
        <v>1097</v>
      </c>
      <c r="B17" s="972"/>
      <c r="C17" s="973"/>
      <c r="D17" s="973"/>
      <c r="E17" s="973"/>
      <c r="F17" s="973"/>
      <c r="G17" s="973"/>
      <c r="H17" s="973"/>
      <c r="I17" s="973"/>
      <c r="J17" s="973"/>
      <c r="K17" s="973"/>
      <c r="L17" s="973"/>
      <c r="M17" s="973"/>
      <c r="N17" s="973"/>
      <c r="O17" s="291"/>
      <c r="P17" s="973"/>
      <c r="Q17" s="974"/>
      <c r="R17" s="964"/>
    </row>
    <row r="18" spans="1:18" ht="15" thickBot="1">
      <c r="A18" s="935" t="s">
        <v>1098</v>
      </c>
      <c r="D18" s="964"/>
      <c r="E18" s="964"/>
      <c r="F18" s="964"/>
      <c r="G18" s="964"/>
      <c r="H18" s="964"/>
      <c r="I18" s="964"/>
      <c r="J18" s="975" t="s">
        <v>1099</v>
      </c>
      <c r="K18" s="964"/>
      <c r="L18" s="964"/>
      <c r="M18" s="964"/>
      <c r="N18" s="964"/>
      <c r="O18" s="69"/>
      <c r="P18" s="964"/>
      <c r="Q18" s="604" t="e">
        <f>'A5. Operations'!D80/'A5. Operations'!D125</f>
        <v>#DIV/0!</v>
      </c>
      <c r="R18" s="964"/>
    </row>
    <row r="19" spans="1:18" ht="15" thickBot="1">
      <c r="A19" s="967"/>
      <c r="B19" s="976"/>
      <c r="C19" s="976"/>
      <c r="D19" s="976"/>
      <c r="E19" s="976"/>
      <c r="F19" s="976"/>
      <c r="G19" s="976"/>
      <c r="H19" s="976"/>
      <c r="I19" s="976"/>
      <c r="J19" s="976"/>
      <c r="K19" s="976"/>
      <c r="L19" s="976"/>
      <c r="M19" s="976"/>
      <c r="N19" s="976"/>
      <c r="O19" s="70"/>
      <c r="P19" s="976"/>
      <c r="Q19" s="977"/>
    </row>
  </sheetData>
  <sheetProtection algorithmName="SHA-512" hashValue="qGI5MDoGbYJi+3/pgqT+hExca/d66Srmsf++Yc/JtyXuWnGJoPB1TLOfYG5zesLatudJA1S1XvFjr9YXatThBQ==" saltValue="NhphYC6p1YIsiCayHT9K1A==" spinCount="100000" sheet="1" selectLockedCells="1"/>
  <protectedRanges>
    <protectedRange sqref="J11 Q8 G11:H11 P7:R7 N8 C7:N7 K10:N11 I10:I11 G12:N14 C10:D14 F10:F14 W9:W14 P10:R14 E11:E14" name="allow"/>
  </protectedRanges>
  <mergeCells count="5">
    <mergeCell ref="G6:J6"/>
    <mergeCell ref="H7:I7"/>
    <mergeCell ref="H8:I8"/>
    <mergeCell ref="H10:I10"/>
    <mergeCell ref="H12:I12"/>
  </mergeCells>
  <conditionalFormatting sqref="Q15">
    <cfRule type="cellIs" dxfId="4" priority="1" operator="between">
      <formula>0</formula>
      <formula>24</formula>
    </cfRule>
    <cfRule type="cellIs" dxfId="3" priority="2" operator="between">
      <formula>25</formula>
      <formula>49</formula>
    </cfRule>
    <cfRule type="cellIs" dxfId="2" priority="3" operator="between">
      <formula>50</formula>
      <formula>69</formula>
    </cfRule>
    <cfRule type="cellIs" dxfId="1" priority="4" operator="between">
      <formula>70</formula>
      <formula>84</formula>
    </cfRule>
    <cfRule type="cellIs" dxfId="0" priority="5" operator="between">
      <formula>85</formula>
      <formula>100</formula>
    </cfRule>
  </conditionalFormatting>
  <pageMargins left="0.7" right="0.7" top="0.75" bottom="0.75" header="0.3" footer="0.3"/>
  <pageSetup scale="54"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3C607-A496-434A-9B8C-6C31AA9F2D95}">
  <sheetPr>
    <tabColor theme="9" tint="0.59999389629810485"/>
  </sheetPr>
  <dimension ref="B1:Y63"/>
  <sheetViews>
    <sheetView showGridLines="0" zoomScale="90" zoomScaleNormal="90" workbookViewId="0">
      <selection activeCell="C28" sqref="C28"/>
    </sheetView>
  </sheetViews>
  <sheetFormatPr defaultColWidth="8.85546875" defaultRowHeight="15.6"/>
  <cols>
    <col min="1" max="1" width="2.85546875" style="13" customWidth="1"/>
    <col min="2" max="2" width="22.28515625" style="13" customWidth="1"/>
    <col min="3" max="3" width="28.42578125" style="13" customWidth="1"/>
    <col min="4" max="4" width="29.28515625" style="13" customWidth="1"/>
    <col min="5" max="5" width="24.140625" style="13" customWidth="1"/>
    <col min="6" max="6" width="19.85546875" style="13" customWidth="1"/>
    <col min="7" max="7" width="18.85546875" style="13" customWidth="1"/>
    <col min="8" max="9" width="18.7109375" style="13" customWidth="1"/>
    <col min="10" max="10" width="17.85546875" style="13" customWidth="1"/>
    <col min="11" max="11" width="16.85546875" style="13" customWidth="1"/>
    <col min="12" max="12" width="8.85546875" style="13" customWidth="1"/>
    <col min="13" max="18" width="8.85546875" style="13"/>
    <col min="19" max="19" width="10.42578125" style="13" customWidth="1"/>
    <col min="20" max="16384" width="8.85546875" style="13"/>
  </cols>
  <sheetData>
    <row r="1" spans="2:12" ht="25.5" customHeight="1">
      <c r="B1" s="1062" t="str">
        <f>IF('A1. Identification'!D7=0, "FAIR LHCC - Peel Secondary SSM",'A1. Identification'!D7)</f>
        <v>FAIR LHCC - Peel Secondary SSM</v>
      </c>
      <c r="C1" s="1062"/>
      <c r="D1" s="1062"/>
      <c r="E1" s="1062"/>
      <c r="F1" s="1062"/>
      <c r="G1" s="1062"/>
      <c r="H1" s="1062"/>
      <c r="I1" s="1062"/>
      <c r="J1" s="1063"/>
      <c r="K1" s="106" t="s">
        <v>1</v>
      </c>
      <c r="L1" s="107" t="str">
        <f>IF('A1. Identification'!$D$13=0, " ",'A1. Identification'!$D$13)</f>
        <v xml:space="preserve"> </v>
      </c>
    </row>
    <row r="2" spans="2:12" ht="20.25" customHeight="1">
      <c r="B2" s="53"/>
      <c r="C2" s="53"/>
      <c r="D2" s="53"/>
      <c r="E2" s="53"/>
      <c r="F2" s="53"/>
      <c r="G2" s="53"/>
      <c r="K2" s="106" t="s">
        <v>3</v>
      </c>
      <c r="L2" s="107" t="str">
        <f>'A5. Operations'!L2</f>
        <v>Please enter Ministry licence number on tab A6 row 7</v>
      </c>
    </row>
    <row r="3" spans="2:12" ht="24" hidden="1" customHeight="1">
      <c r="B3" s="1057" t="s">
        <v>95</v>
      </c>
      <c r="C3" s="1058"/>
      <c r="D3" s="1058"/>
      <c r="E3" s="1058"/>
      <c r="F3" s="1058"/>
      <c r="G3" s="1058"/>
      <c r="H3" s="1058"/>
      <c r="I3" s="1058"/>
      <c r="J3" s="1059"/>
      <c r="K3" s="694"/>
    </row>
    <row r="4" spans="2:12" hidden="1">
      <c r="B4" s="71"/>
      <c r="C4"/>
      <c r="D4"/>
      <c r="E4"/>
      <c r="J4" s="76"/>
      <c r="K4" s="694"/>
    </row>
    <row r="5" spans="2:12" ht="19.5" hidden="1" customHeight="1">
      <c r="B5" s="695" t="s">
        <v>96</v>
      </c>
      <c r="C5" s="787"/>
      <c r="D5" s="787"/>
      <c r="E5" s="787"/>
      <c r="J5" s="76"/>
      <c r="K5" s="694"/>
    </row>
    <row r="6" spans="2:12" ht="2.25" hidden="1" customHeight="1">
      <c r="B6" s="695"/>
      <c r="C6" s="787"/>
      <c r="D6" s="787"/>
      <c r="E6" s="787"/>
      <c r="J6" s="76"/>
      <c r="K6" s="694"/>
    </row>
    <row r="7" spans="2:12" ht="15.75" hidden="1" customHeight="1">
      <c r="B7" s="695"/>
      <c r="C7" s="787"/>
      <c r="D7" s="787"/>
      <c r="E7" s="787"/>
      <c r="J7" s="76"/>
      <c r="K7" s="694"/>
    </row>
    <row r="8" spans="2:12" ht="8.25" hidden="1" customHeight="1" thickBot="1">
      <c r="B8" s="696"/>
      <c r="C8" s="788"/>
      <c r="D8" s="788"/>
      <c r="E8" s="788"/>
      <c r="J8" s="76"/>
      <c r="K8" s="694"/>
    </row>
    <row r="9" spans="2:12" s="699" customFormat="1" ht="70.5" hidden="1" customHeight="1">
      <c r="B9" s="697"/>
      <c r="C9" s="789"/>
      <c r="D9" s="698" t="s">
        <v>97</v>
      </c>
      <c r="E9" s="792"/>
      <c r="F9" s="792"/>
      <c r="G9" s="792"/>
      <c r="H9" s="792"/>
      <c r="I9" s="792"/>
      <c r="J9" s="793"/>
    </row>
    <row r="10" spans="2:12" hidden="1">
      <c r="B10" s="1072" t="s">
        <v>98</v>
      </c>
      <c r="C10" s="1073"/>
      <c r="D10" s="701" t="s">
        <v>99</v>
      </c>
      <c r="E10" s="700" t="s">
        <v>100</v>
      </c>
      <c r="F10" s="700" t="s">
        <v>101</v>
      </c>
      <c r="G10" s="700" t="s">
        <v>102</v>
      </c>
      <c r="H10" s="700" t="s">
        <v>103</v>
      </c>
      <c r="I10" s="700" t="s">
        <v>104</v>
      </c>
      <c r="J10" s="790" t="s">
        <v>105</v>
      </c>
    </row>
    <row r="11" spans="2:12" hidden="1">
      <c r="B11" s="1074" t="s">
        <v>106</v>
      </c>
      <c r="C11" s="702" t="s">
        <v>107</v>
      </c>
      <c r="D11" s="703">
        <f>SUM(E11:J11)</f>
        <v>0</v>
      </c>
      <c r="E11" s="779"/>
      <c r="F11" s="770"/>
      <c r="G11" s="770"/>
      <c r="H11" s="770"/>
      <c r="I11" s="770"/>
      <c r="J11" s="772"/>
    </row>
    <row r="12" spans="2:12" hidden="1">
      <c r="B12" s="1074"/>
      <c r="C12" s="702" t="s">
        <v>108</v>
      </c>
      <c r="D12" s="703">
        <f t="shared" ref="D12:D21" si="0">SUM(E12:J12)</f>
        <v>0</v>
      </c>
      <c r="E12" s="779"/>
      <c r="F12" s="770"/>
      <c r="G12" s="770"/>
      <c r="H12" s="770"/>
      <c r="I12" s="770"/>
      <c r="J12" s="772"/>
    </row>
    <row r="13" spans="2:12" hidden="1">
      <c r="B13" s="1074"/>
      <c r="C13" s="702" t="s">
        <v>109</v>
      </c>
      <c r="D13" s="703">
        <f t="shared" si="0"/>
        <v>0</v>
      </c>
      <c r="E13" s="779"/>
      <c r="F13" s="770"/>
      <c r="G13" s="770"/>
      <c r="H13" s="770"/>
      <c r="I13" s="770"/>
      <c r="J13" s="772"/>
    </row>
    <row r="14" spans="2:12" hidden="1">
      <c r="B14" s="1074"/>
      <c r="C14" s="702" t="s">
        <v>110</v>
      </c>
      <c r="D14" s="703">
        <f t="shared" si="0"/>
        <v>0</v>
      </c>
      <c r="E14" s="779"/>
      <c r="F14" s="770"/>
      <c r="G14" s="770"/>
      <c r="H14" s="770"/>
      <c r="I14" s="770"/>
      <c r="J14" s="772"/>
    </row>
    <row r="15" spans="2:12" hidden="1">
      <c r="B15" s="1074"/>
      <c r="C15" s="702" t="s">
        <v>111</v>
      </c>
      <c r="D15" s="703">
        <f t="shared" si="0"/>
        <v>0</v>
      </c>
      <c r="E15" s="779"/>
      <c r="F15" s="770"/>
      <c r="G15" s="770"/>
      <c r="H15" s="770"/>
      <c r="I15" s="770"/>
      <c r="J15" s="772"/>
    </row>
    <row r="16" spans="2:12" hidden="1">
      <c r="B16" s="1074"/>
      <c r="C16" s="702" t="s">
        <v>112</v>
      </c>
      <c r="D16" s="703">
        <f t="shared" si="0"/>
        <v>0</v>
      </c>
      <c r="E16" s="779"/>
      <c r="F16" s="770"/>
      <c r="G16" s="770"/>
      <c r="H16" s="770"/>
      <c r="I16" s="770"/>
      <c r="J16" s="772"/>
    </row>
    <row r="17" spans="2:25" ht="35.25" hidden="1" customHeight="1">
      <c r="B17" s="1074"/>
      <c r="C17" s="704" t="s">
        <v>113</v>
      </c>
      <c r="D17" s="705">
        <f t="shared" si="0"/>
        <v>0</v>
      </c>
      <c r="E17" s="705">
        <f t="shared" ref="E17:J17" si="1">SUM(E11:E16)</f>
        <v>0</v>
      </c>
      <c r="F17" s="705">
        <f t="shared" si="1"/>
        <v>0</v>
      </c>
      <c r="G17" s="705">
        <f t="shared" si="1"/>
        <v>0</v>
      </c>
      <c r="H17" s="705">
        <f t="shared" si="1"/>
        <v>0</v>
      </c>
      <c r="I17" s="705">
        <f t="shared" si="1"/>
        <v>0</v>
      </c>
      <c r="J17" s="791">
        <f t="shared" si="1"/>
        <v>0</v>
      </c>
    </row>
    <row r="18" spans="2:25" ht="18.75" hidden="1" customHeight="1">
      <c r="B18" s="1079" t="s">
        <v>114</v>
      </c>
      <c r="C18" s="1080"/>
      <c r="D18" s="703">
        <f t="shared" si="0"/>
        <v>0</v>
      </c>
      <c r="E18" s="780"/>
      <c r="F18" s="777"/>
      <c r="G18" s="777"/>
      <c r="H18" s="777"/>
      <c r="I18" s="777"/>
      <c r="J18" s="778"/>
    </row>
    <row r="19" spans="2:25" ht="23.45" hidden="1">
      <c r="B19" s="1075" t="s">
        <v>115</v>
      </c>
      <c r="C19" s="1076"/>
      <c r="D19" s="705">
        <f t="shared" si="0"/>
        <v>0</v>
      </c>
      <c r="E19" s="706">
        <f t="shared" ref="E19:J19" si="2">SUM(E17:E18)</f>
        <v>0</v>
      </c>
      <c r="F19" s="706">
        <f t="shared" si="2"/>
        <v>0</v>
      </c>
      <c r="G19" s="706">
        <f t="shared" si="2"/>
        <v>0</v>
      </c>
      <c r="H19" s="706">
        <f t="shared" si="2"/>
        <v>0</v>
      </c>
      <c r="I19" s="706">
        <f t="shared" si="2"/>
        <v>0</v>
      </c>
      <c r="J19" s="707">
        <f t="shared" si="2"/>
        <v>0</v>
      </c>
    </row>
    <row r="20" spans="2:25" ht="33.75" hidden="1" customHeight="1">
      <c r="B20" s="1077" t="s">
        <v>116</v>
      </c>
      <c r="C20" s="1078"/>
      <c r="D20" s="703">
        <f t="shared" si="0"/>
        <v>0</v>
      </c>
      <c r="E20" s="770"/>
      <c r="F20" s="770"/>
      <c r="G20" s="770"/>
      <c r="H20" s="770"/>
      <c r="I20" s="770"/>
      <c r="J20" s="772"/>
    </row>
    <row r="21" spans="2:25" ht="24" hidden="1" customHeight="1" thickBot="1">
      <c r="B21" s="1060" t="s">
        <v>117</v>
      </c>
      <c r="C21" s="1061"/>
      <c r="D21" s="708">
        <f t="shared" si="0"/>
        <v>0</v>
      </c>
      <c r="E21" s="709">
        <f t="shared" ref="E21:J21" si="3">SUM(E19:E20)</f>
        <v>0</v>
      </c>
      <c r="F21" s="709">
        <f t="shared" si="3"/>
        <v>0</v>
      </c>
      <c r="G21" s="709">
        <f t="shared" si="3"/>
        <v>0</v>
      </c>
      <c r="H21" s="709">
        <f t="shared" si="3"/>
        <v>0</v>
      </c>
      <c r="I21" s="709">
        <f t="shared" si="3"/>
        <v>0</v>
      </c>
      <c r="J21" s="710">
        <f t="shared" si="3"/>
        <v>0</v>
      </c>
    </row>
    <row r="22" spans="2:25" ht="24" thickBot="1">
      <c r="B22" s="50"/>
      <c r="K22" s="694"/>
    </row>
    <row r="23" spans="2:25" customFormat="1" ht="23.25" customHeight="1">
      <c r="B23" s="1057" t="s">
        <v>118</v>
      </c>
      <c r="C23" s="1058"/>
      <c r="D23" s="1058"/>
      <c r="E23" s="1058"/>
      <c r="F23" s="1058"/>
      <c r="G23" s="1058"/>
      <c r="H23" s="1058"/>
      <c r="I23" s="1058"/>
      <c r="J23" s="1059"/>
      <c r="K23" s="711"/>
      <c r="L23" s="711"/>
      <c r="M23" s="711"/>
      <c r="N23" s="711"/>
      <c r="Y23" s="4"/>
    </row>
    <row r="24" spans="2:25" customFormat="1" ht="14.25" customHeight="1">
      <c r="B24" s="712"/>
      <c r="C24" s="764"/>
      <c r="D24" s="764"/>
      <c r="E24" s="764"/>
      <c r="F24" s="764"/>
      <c r="G24" s="764"/>
      <c r="H24" s="764"/>
      <c r="I24" s="764"/>
      <c r="J24" s="713"/>
      <c r="K24" s="711"/>
      <c r="L24" s="711"/>
      <c r="M24" s="711"/>
      <c r="N24" s="711"/>
      <c r="Y24" s="4"/>
    </row>
    <row r="25" spans="2:25" ht="12.95" customHeight="1">
      <c r="B25" s="714"/>
      <c r="C25" s="765"/>
      <c r="D25" s="765"/>
      <c r="E25" s="765"/>
      <c r="F25"/>
      <c r="G25" s="765"/>
      <c r="H25" s="765"/>
      <c r="I25" s="711"/>
      <c r="J25" s="713"/>
      <c r="K25" s="711"/>
      <c r="L25" s="711"/>
      <c r="M25" s="711"/>
      <c r="N25" s="711"/>
    </row>
    <row r="26" spans="2:25" customFormat="1" ht="31.5" customHeight="1">
      <c r="B26" s="1064" t="s">
        <v>119</v>
      </c>
      <c r="C26" s="1065"/>
      <c r="D26" s="1065"/>
      <c r="E26" s="1065"/>
      <c r="F26" s="1065"/>
      <c r="G26" s="1065"/>
      <c r="H26" s="1065"/>
      <c r="I26" s="1065"/>
      <c r="J26" s="51"/>
      <c r="K26" s="85"/>
      <c r="M26" s="715"/>
      <c r="Y26" s="4"/>
    </row>
    <row r="27" spans="2:25" customFormat="1" ht="14.45" customHeight="1">
      <c r="B27" s="455"/>
      <c r="C27" s="711"/>
      <c r="D27" s="711"/>
      <c r="F27" s="711"/>
      <c r="G27" s="711"/>
      <c r="H27" s="711"/>
      <c r="J27" s="51"/>
      <c r="K27" s="192"/>
      <c r="Y27" s="4"/>
    </row>
    <row r="28" spans="2:25" customFormat="1" ht="14.45" customHeight="1">
      <c r="B28" s="1064" t="s">
        <v>120</v>
      </c>
      <c r="C28" s="306"/>
      <c r="D28" s="13"/>
      <c r="E28" s="766" t="s">
        <v>121</v>
      </c>
      <c r="F28" s="1066"/>
      <c r="G28" s="1067"/>
      <c r="H28" s="1067"/>
      <c r="I28" s="1068"/>
      <c r="J28" s="51"/>
      <c r="K28" s="192"/>
      <c r="Y28" s="4"/>
    </row>
    <row r="29" spans="2:25" customFormat="1" ht="14.45" customHeight="1">
      <c r="B29" s="1064"/>
      <c r="C29" s="711"/>
      <c r="D29" s="711"/>
      <c r="F29" s="1069"/>
      <c r="G29" s="1070"/>
      <c r="H29" s="1070"/>
      <c r="I29" s="1071"/>
      <c r="J29" s="51"/>
      <c r="K29" s="192"/>
      <c r="Y29" s="4"/>
    </row>
    <row r="30" spans="2:25">
      <c r="B30" s="73"/>
      <c r="D30" s="762" t="s">
        <v>122</v>
      </c>
      <c r="E30" s="304"/>
      <c r="J30" s="76"/>
    </row>
    <row r="31" spans="2:25">
      <c r="B31" s="73"/>
      <c r="D31" s="763"/>
      <c r="E31" s="767"/>
      <c r="J31" s="76"/>
    </row>
    <row r="32" spans="2:25">
      <c r="B32" s="73"/>
      <c r="D32" s="983" t="s">
        <v>123</v>
      </c>
      <c r="E32" s="773"/>
      <c r="J32" s="76"/>
    </row>
    <row r="33" spans="2:10">
      <c r="B33" s="73"/>
      <c r="D33" s="983" t="s">
        <v>124</v>
      </c>
      <c r="E33" s="773"/>
      <c r="J33" s="76"/>
    </row>
    <row r="34" spans="2:10" ht="22.5">
      <c r="B34" s="717"/>
      <c r="C34" s="768"/>
      <c r="D34" s="768"/>
      <c r="E34" s="768"/>
      <c r="J34" s="76"/>
    </row>
    <row r="35" spans="2:10">
      <c r="B35" s="718" t="s">
        <v>125</v>
      </c>
      <c r="C35" s="719" t="s">
        <v>126</v>
      </c>
      <c r="D35" s="720" t="s">
        <v>127</v>
      </c>
      <c r="E35" s="769"/>
      <c r="J35" s="76"/>
    </row>
    <row r="36" spans="2:10" ht="15.95" thickBot="1">
      <c r="B36" s="721" t="s">
        <v>128</v>
      </c>
      <c r="C36" s="732" t="str">
        <f>IFERROR(ROUND(E32/E33,4),"")</f>
        <v/>
      </c>
      <c r="D36" s="733" t="str">
        <f>IFERROR(1-C36,"")</f>
        <v/>
      </c>
      <c r="E36" s="722" t="str">
        <f>IFERROR(IF(C36+D36=1," ","Error:  Total of percentages must equal 100%")," ")</f>
        <v xml:space="preserve"> </v>
      </c>
      <c r="F36" s="529"/>
      <c r="G36" s="529"/>
      <c r="H36" s="529"/>
      <c r="I36" s="529"/>
      <c r="J36" s="77"/>
    </row>
    <row r="37" spans="2:10">
      <c r="B37" s="723"/>
    </row>
    <row r="38" spans="2:10" ht="23.45" hidden="1">
      <c r="B38" s="1057" t="s">
        <v>129</v>
      </c>
      <c r="C38" s="1058"/>
      <c r="D38" s="1058"/>
      <c r="E38" s="1058"/>
      <c r="F38" s="1058"/>
      <c r="G38" s="1058"/>
      <c r="H38" s="1058"/>
      <c r="I38" s="1058"/>
      <c r="J38" s="1059"/>
    </row>
    <row r="39" spans="2:10" hidden="1">
      <c r="B39" s="73"/>
      <c r="J39" s="76"/>
    </row>
    <row r="40" spans="2:10" ht="17.45" hidden="1">
      <c r="B40" s="724" t="s">
        <v>130</v>
      </c>
      <c r="C40" s="601"/>
      <c r="D40" s="601"/>
      <c r="E40" s="121"/>
      <c r="F40" s="120"/>
      <c r="G40" s="120"/>
      <c r="H40" s="120"/>
      <c r="I40" s="644"/>
      <c r="J40" s="725"/>
    </row>
    <row r="41" spans="2:10" hidden="1">
      <c r="B41" s="726" t="s">
        <v>131</v>
      </c>
      <c r="C41" s="600"/>
      <c r="D41" s="600"/>
      <c r="E41" s="121"/>
      <c r="F41" s="120"/>
      <c r="G41" s="120"/>
      <c r="H41" s="120"/>
      <c r="I41" s="644"/>
      <c r="J41" s="725"/>
    </row>
    <row r="42" spans="2:10" ht="14.25" hidden="1" customHeight="1">
      <c r="B42" s="727"/>
      <c r="D42" s="1"/>
      <c r="E42" s="119"/>
      <c r="F42" s="728" t="s">
        <v>132</v>
      </c>
      <c r="G42" s="645" t="s">
        <v>133</v>
      </c>
      <c r="H42" s="304"/>
      <c r="J42" s="76"/>
    </row>
    <row r="43" spans="2:10" ht="27" hidden="1" customHeight="1">
      <c r="B43" s="727" t="s">
        <v>134</v>
      </c>
      <c r="C43" s="1"/>
      <c r="D43" s="1"/>
      <c r="E43" s="119"/>
      <c r="F43" s="119"/>
      <c r="J43" s="76"/>
    </row>
    <row r="44" spans="2:10" ht="51" hidden="1" customHeight="1">
      <c r="B44" s="729"/>
      <c r="C44" s="623"/>
      <c r="D44" s="1"/>
      <c r="E44" s="602" t="s">
        <v>135</v>
      </c>
      <c r="F44" s="602" t="s">
        <v>136</v>
      </c>
      <c r="G44" s="624"/>
      <c r="H44" s="1056" t="s">
        <v>137</v>
      </c>
      <c r="I44" s="1056"/>
      <c r="J44" s="76"/>
    </row>
    <row r="45" spans="2:10" ht="36.950000000000003" hidden="1" customHeight="1">
      <c r="B45" s="730" t="s">
        <v>138</v>
      </c>
      <c r="C45" s="625"/>
      <c r="D45" s="626"/>
      <c r="E45" s="774">
        <f>E9</f>
        <v>0</v>
      </c>
      <c r="F45" s="628" t="str">
        <f>IF(ISERROR(VLOOKUP(E45,'Hide - App A - EFIS IDs'!B:C,2,FALSE)),"",VLOOKUP(E45,'Hide - App A - EFIS IDs'!B:C,2,FALSE))</f>
        <v/>
      </c>
      <c r="G45" s="122" t="s">
        <v>139</v>
      </c>
      <c r="H45" s="681"/>
      <c r="J45" s="76"/>
    </row>
    <row r="46" spans="2:10" ht="15.95" hidden="1" customHeight="1">
      <c r="B46" s="716" t="s">
        <v>140</v>
      </c>
      <c r="C46" s="626"/>
      <c r="D46" s="626"/>
      <c r="E46" s="146"/>
      <c r="F46" s="626"/>
      <c r="G46" s="626"/>
      <c r="H46" s="626"/>
      <c r="J46" s="76"/>
    </row>
    <row r="47" spans="2:10" ht="54.75" hidden="1" customHeight="1">
      <c r="B47" s="73"/>
      <c r="C47" s="626" t="s">
        <v>141</v>
      </c>
      <c r="D47" s="688" t="s">
        <v>142</v>
      </c>
      <c r="E47" s="775" t="str">
        <f>IF(F9=0," ",F9)</f>
        <v xml:space="preserve"> </v>
      </c>
      <c r="F47" s="771" t="str">
        <f>IF(ISERROR(VLOOKUP(E47,'Hide - App A - EFIS IDs'!B:C, 2,FALSE)),"",VLOOKUP(E47,'Hide - App A - EFIS IDs'!B:C, 2,FALSE))</f>
        <v/>
      </c>
      <c r="G47" s="122" t="s">
        <v>143</v>
      </c>
      <c r="H47" s="681"/>
      <c r="J47" s="76"/>
    </row>
    <row r="48" spans="2:10" ht="51" hidden="1" customHeight="1">
      <c r="B48" s="73"/>
      <c r="C48" s="626" t="s">
        <v>144</v>
      </c>
      <c r="D48" s="688" t="s">
        <v>145</v>
      </c>
      <c r="E48" s="775" t="str">
        <f>IF(G9=0," ",G9)</f>
        <v xml:space="preserve"> </v>
      </c>
      <c r="F48" s="771" t="str">
        <f>IF(ISERROR(VLOOKUP(E48,'Hide - App A - EFIS IDs'!B:C, 2,FALSE)),"",VLOOKUP(E48,'Hide - App A - EFIS IDs'!B:C, 2,FALSE))</f>
        <v/>
      </c>
      <c r="G48" s="122" t="s">
        <v>146</v>
      </c>
      <c r="H48" s="681"/>
      <c r="J48" s="76"/>
    </row>
    <row r="49" spans="2:10" ht="51" hidden="1" customHeight="1">
      <c r="B49" s="73"/>
      <c r="C49" s="626" t="s">
        <v>147</v>
      </c>
      <c r="D49" s="688" t="s">
        <v>148</v>
      </c>
      <c r="E49" s="775" t="str">
        <f>IF(H9=0," ",H9)</f>
        <v xml:space="preserve"> </v>
      </c>
      <c r="F49" s="771" t="str">
        <f>IF(ISERROR(VLOOKUP(E49,'Hide - App A - EFIS IDs'!B:C, 2,FALSE)),"",VLOOKUP(E49,'Hide - App A - EFIS IDs'!B:C, 2,FALSE))</f>
        <v/>
      </c>
      <c r="G49" s="122" t="s">
        <v>149</v>
      </c>
      <c r="H49" s="681"/>
      <c r="J49" s="76"/>
    </row>
    <row r="50" spans="2:10" ht="51" hidden="1" customHeight="1">
      <c r="B50" s="73"/>
      <c r="C50" s="626" t="s">
        <v>150</v>
      </c>
      <c r="D50" s="688" t="s">
        <v>151</v>
      </c>
      <c r="E50" s="775" t="str">
        <f>IF(I9=0," ",I9)</f>
        <v xml:space="preserve"> </v>
      </c>
      <c r="F50" s="771" t="str">
        <f>IF(ISERROR(VLOOKUP(E50,'Hide - App A - EFIS IDs'!B:C, 2,FALSE)),"",VLOOKUP(E50,'Hide - App A - EFIS IDs'!B:C, 2,FALSE))</f>
        <v/>
      </c>
      <c r="G50" s="122" t="s">
        <v>152</v>
      </c>
      <c r="H50" s="681"/>
      <c r="J50" s="76"/>
    </row>
    <row r="51" spans="2:10" ht="51" hidden="1" customHeight="1">
      <c r="B51" s="73"/>
      <c r="C51" s="626" t="s">
        <v>153</v>
      </c>
      <c r="D51" s="688" t="s">
        <v>154</v>
      </c>
      <c r="E51" s="775" t="str">
        <f>IF(J9=0," ",J9)</f>
        <v xml:space="preserve"> </v>
      </c>
      <c r="F51" s="771" t="str">
        <f>IF(ISERROR(VLOOKUP(E51,'Hide - App A - EFIS IDs'!B:C, 2,FALSE)),"",VLOOKUP(E51,'Hide - App A - EFIS IDs'!B:C, 2,FALSE))</f>
        <v/>
      </c>
      <c r="G51" s="122" t="s">
        <v>155</v>
      </c>
      <c r="H51" s="681"/>
      <c r="J51" s="76"/>
    </row>
    <row r="52" spans="2:10" hidden="1">
      <c r="B52" s="73"/>
      <c r="C52" s="626" t="s">
        <v>156</v>
      </c>
      <c r="D52" s="688" t="s">
        <v>157</v>
      </c>
      <c r="E52" s="682"/>
      <c r="F52" s="628" t="str">
        <f>IF(ISERROR(VLOOKUP(E52,'Hide - App A - EFIS IDs'!B:C, 2,FALSE)),"",VLOOKUP(E52,'Hide - App A - EFIS IDs'!B:C, 2,FALSE))</f>
        <v/>
      </c>
      <c r="G52" s="122" t="s">
        <v>158</v>
      </c>
      <c r="H52" s="731"/>
      <c r="J52" s="76"/>
    </row>
    <row r="53" spans="2:10" hidden="1">
      <c r="B53" s="73"/>
      <c r="C53" s="626" t="s">
        <v>159</v>
      </c>
      <c r="D53" s="688" t="s">
        <v>160</v>
      </c>
      <c r="E53" s="682"/>
      <c r="F53" s="628" t="str">
        <f>IF(ISERROR(VLOOKUP(E53,'Hide - App A - EFIS IDs'!B:C, 2,FALSE)),"",VLOOKUP(E53,'Hide - App A - EFIS IDs'!B:C, 2,FALSE))</f>
        <v/>
      </c>
      <c r="G53" s="122" t="s">
        <v>161</v>
      </c>
      <c r="H53" s="731"/>
      <c r="J53" s="76"/>
    </row>
    <row r="54" spans="2:10" hidden="1">
      <c r="B54" s="73"/>
      <c r="C54" s="626" t="s">
        <v>162</v>
      </c>
      <c r="D54" s="688" t="s">
        <v>163</v>
      </c>
      <c r="E54" s="682"/>
      <c r="F54" s="628" t="str">
        <f>IF(ISERROR(VLOOKUP(E54,'Hide - App A - EFIS IDs'!B:C, 2,FALSE)),"",VLOOKUP(E54,'Hide - App A - EFIS IDs'!B:C, 2,FALSE))</f>
        <v/>
      </c>
      <c r="G54" s="122" t="s">
        <v>164</v>
      </c>
      <c r="H54" s="731"/>
      <c r="J54" s="76"/>
    </row>
    <row r="55" spans="2:10" hidden="1">
      <c r="B55" s="73"/>
      <c r="C55" s="626" t="s">
        <v>165</v>
      </c>
      <c r="D55" s="688" t="s">
        <v>166</v>
      </c>
      <c r="E55" s="682"/>
      <c r="F55" s="628" t="str">
        <f>IF(ISERROR(VLOOKUP(E55,'Hide - App A - EFIS IDs'!B:C, 2,FALSE)),"",VLOOKUP(E55,'Hide - App A - EFIS IDs'!B:C, 2,FALSE))</f>
        <v/>
      </c>
      <c r="G55" s="122" t="s">
        <v>167</v>
      </c>
      <c r="H55" s="731"/>
      <c r="J55" s="76"/>
    </row>
    <row r="56" spans="2:10" hidden="1">
      <c r="B56" s="73"/>
      <c r="C56" s="626" t="s">
        <v>168</v>
      </c>
      <c r="D56" s="688" t="s">
        <v>169</v>
      </c>
      <c r="E56" s="682"/>
      <c r="F56" s="628" t="str">
        <f>IF(ISERROR(VLOOKUP(E56,'Hide - App A - EFIS IDs'!B:C, 2,FALSE)),"",VLOOKUP(E56,'Hide - App A - EFIS IDs'!B:C, 2,FALSE))</f>
        <v/>
      </c>
      <c r="G56" s="122" t="s">
        <v>170</v>
      </c>
      <c r="H56" s="731"/>
      <c r="J56" s="76"/>
    </row>
    <row r="57" spans="2:10" hidden="1">
      <c r="B57" s="727"/>
      <c r="C57" s="1"/>
      <c r="D57" s="626"/>
      <c r="E57" s="626"/>
      <c r="F57" s="626"/>
      <c r="G57" s="626" t="s">
        <v>171</v>
      </c>
      <c r="H57" s="630">
        <f>+SUM(H45:H56)</f>
        <v>0</v>
      </c>
      <c r="J57" s="76"/>
    </row>
    <row r="58" spans="2:10" hidden="1">
      <c r="B58" s="73"/>
      <c r="J58" s="76"/>
    </row>
    <row r="59" spans="2:10" hidden="1">
      <c r="B59" s="73"/>
      <c r="I59" s="643" t="str">
        <f>+IF(H42&lt;&gt;SUM(H47:H56,H45),"WARNING: The total number of active home-days should equal to the sum of all active home-days in overseeing and secondary CMSMs/DSSABs","")</f>
        <v/>
      </c>
      <c r="J59" s="76"/>
    </row>
    <row r="60" spans="2:10" ht="15.95" hidden="1" thickBot="1">
      <c r="B60" s="313"/>
      <c r="C60" s="529"/>
      <c r="D60" s="529"/>
      <c r="E60" s="529"/>
      <c r="F60" s="529"/>
      <c r="G60" s="529"/>
      <c r="H60" s="529"/>
      <c r="I60" s="529"/>
      <c r="J60" s="77"/>
    </row>
    <row r="61" spans="2:10" hidden="1"/>
    <row r="62" spans="2:10" hidden="1"/>
    <row r="63" spans="2:10" hidden="1"/>
  </sheetData>
  <sheetProtection algorithmName="SHA-512" hashValue="PpKggsDTL14vEd+n0Y1eucldkcVQLkqRqRsbFwe6l3fTdiXrS8RBP4zv+gLD3/qU7EzbTWHyDMpfGnjI/lFhmQ==" saltValue="R/u2LQbA7DgtiweBoOpvsQ==" spinCount="100000" sheet="1" objects="1" scenarios="1"/>
  <mergeCells count="14">
    <mergeCell ref="B1:J1"/>
    <mergeCell ref="B26:I26"/>
    <mergeCell ref="F28:I29"/>
    <mergeCell ref="B10:C10"/>
    <mergeCell ref="B11:B17"/>
    <mergeCell ref="B19:C19"/>
    <mergeCell ref="B20:C20"/>
    <mergeCell ref="B18:C18"/>
    <mergeCell ref="B28:B29"/>
    <mergeCell ref="H44:I44"/>
    <mergeCell ref="B38:J38"/>
    <mergeCell ref="B21:C21"/>
    <mergeCell ref="B3:J3"/>
    <mergeCell ref="B23:J23"/>
  </mergeCells>
  <phoneticPr fontId="5" type="noConversion"/>
  <conditionalFormatting sqref="C28">
    <cfRule type="cellIs" dxfId="58" priority="10" operator="notEqual">
      <formula>""</formula>
    </cfRule>
  </conditionalFormatting>
  <conditionalFormatting sqref="E30">
    <cfRule type="cellIs" dxfId="57" priority="5" operator="notEqual">
      <formula>""</formula>
    </cfRule>
  </conditionalFormatting>
  <conditionalFormatting sqref="E32:E33">
    <cfRule type="cellIs" dxfId="56" priority="4" operator="notEqual">
      <formula>""</formula>
    </cfRule>
  </conditionalFormatting>
  <conditionalFormatting sqref="E45:F45 E47:F56">
    <cfRule type="cellIs" dxfId="55" priority="16" operator="notEqual">
      <formula>""</formula>
    </cfRule>
  </conditionalFormatting>
  <conditionalFormatting sqref="E9:J9">
    <cfRule type="cellIs" dxfId="54" priority="1" operator="notEqual">
      <formula>""</formula>
    </cfRule>
  </conditionalFormatting>
  <conditionalFormatting sqref="E11:J16">
    <cfRule type="cellIs" dxfId="53" priority="8" operator="notEqual">
      <formula>""</formula>
    </cfRule>
  </conditionalFormatting>
  <conditionalFormatting sqref="E18:J18">
    <cfRule type="cellIs" dxfId="52" priority="7" operator="notEqual">
      <formula>""</formula>
    </cfRule>
  </conditionalFormatting>
  <conditionalFormatting sqref="E20:J20">
    <cfRule type="cellIs" dxfId="51" priority="6" operator="notEqual">
      <formula>""</formula>
    </cfRule>
  </conditionalFormatting>
  <conditionalFormatting sqref="F28">
    <cfRule type="cellIs" dxfId="50" priority="9" operator="notEqual">
      <formula>""</formula>
    </cfRule>
  </conditionalFormatting>
  <conditionalFormatting sqref="H42">
    <cfRule type="cellIs" dxfId="49" priority="3" operator="notEqual">
      <formula>""</formula>
    </cfRule>
  </conditionalFormatting>
  <conditionalFormatting sqref="H45 H47:H56">
    <cfRule type="cellIs" dxfId="48" priority="17" operator="notEqual">
      <formula>""</formula>
    </cfRule>
  </conditionalFormatting>
  <dataValidations count="7">
    <dataValidation type="decimal" operator="lessThanOrEqual" allowBlank="1" showInputMessage="1" showErrorMessage="1" error="Input amount as a negative" prompt="Input amount as a negative" sqref="E18:J18" xr:uid="{D1A4C7C9-2E70-49A2-A8DF-15C74BFF6DC2}">
      <formula1>0</formula1>
    </dataValidation>
    <dataValidation operator="equal" allowBlank="1" showInputMessage="1" showErrorMessage="1" errorTitle="Error" error="Must equal 100%" sqref="C36:D36" xr:uid="{1C09963E-908F-48FE-AB0B-CBE99B6CDD0A}"/>
    <dataValidation type="whole" operator="greaterThanOrEqual" allowBlank="1" showInputMessage="1" showErrorMessage="1" error="Must be a number greater than or equal to 0" sqref="H45 H47:H56" xr:uid="{4AF47FD1-AFA2-4BEC-8921-39A09B9AB3E2}">
      <formula1>0</formula1>
    </dataValidation>
    <dataValidation type="whole" operator="greaterThan" allowBlank="1" showInputMessage="1" showErrorMessage="1" error="Must be a number greater than 0" prompt="For example, 5 active homes for 261 service days and 1 active home for 365 service days would be (5 x 261) + (1 x 365) = 1,670 active home-days" sqref="H42:H43" xr:uid="{5714EC6A-DEB3-402C-A94F-4E3367368914}">
      <formula1>0</formula1>
    </dataValidation>
    <dataValidation allowBlank="1" showInputMessage="1" showErrorMessage="1" error="0-6 children are higher than total children_x000a_" sqref="E33" xr:uid="{3CE225CB-DCC9-4CF8-A3A2-C8567B050796}"/>
    <dataValidation type="whole" allowBlank="1" showInputMessage="1" showErrorMessage="1" error="Input 1 to 12 months, around up to nearest whole month. " prompt="Input 1 to 12 months, around up to nearest whole month. " sqref="E30" xr:uid="{579B8832-F64A-45CE-A6FE-FCAC84D6A211}">
      <formula1>1</formula1>
      <formula2>12</formula2>
    </dataValidation>
    <dataValidation type="decimal" allowBlank="1" showInputMessage="1" showErrorMessage="1" prompt="Input 1 to 12 months" sqref="E31" xr:uid="{C704B532-F90C-4B0A-A5BD-6ECF7612E29D}">
      <formula1>1</formula1>
      <formula2>12</formula2>
    </dataValidation>
  </dataValidations>
  <pageMargins left="0.7" right="0.7" top="0.75" bottom="0.75" header="0.3" footer="0.3"/>
  <pageSetup scale="89"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Please select from drop-down list" xr:uid="{B73655C3-B55A-4194-820A-5585A9E19BE7}">
          <x14:formula1>
            <xm:f>'Hide - App A - EFIS IDs'!$B$3:$B$49</xm:f>
          </x14:formula1>
          <xm:sqref>E9:J9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E51B8-C857-45C3-8BC0-E4B88E356F5F}">
  <sheetPr>
    <tabColor theme="9" tint="0.59999389629810485"/>
  </sheetPr>
  <dimension ref="A1:N221"/>
  <sheetViews>
    <sheetView showGridLines="0" zoomScale="85" zoomScaleNormal="85" workbookViewId="0">
      <selection activeCell="B5" sqref="B5:F5"/>
    </sheetView>
  </sheetViews>
  <sheetFormatPr defaultRowHeight="14.45" outlineLevelRow="1"/>
  <cols>
    <col min="1" max="1" width="3.28515625" customWidth="1"/>
    <col min="2" max="2" width="53" customWidth="1"/>
    <col min="3" max="4" width="24.42578125" customWidth="1"/>
    <col min="5" max="5" width="26.28515625" customWidth="1"/>
    <col min="6" max="6" width="25.42578125" customWidth="1"/>
    <col min="7" max="7" width="17" customWidth="1"/>
    <col min="8" max="8" width="20.140625" customWidth="1"/>
    <col min="9" max="9" width="12.140625" customWidth="1"/>
    <col min="10" max="10" width="19.42578125" customWidth="1"/>
    <col min="11" max="11" width="27.42578125" customWidth="1"/>
    <col min="12" max="12" width="31.42578125" customWidth="1"/>
    <col min="13" max="13" width="10.5703125" bestFit="1" customWidth="1"/>
  </cols>
  <sheetData>
    <row r="1" spans="2:8" s="13" customFormat="1" ht="23.45">
      <c r="B1" s="1062" t="str">
        <f>IF('A1. Identification'!D7=0, "Financial Annual Information Return (FAIR) and 2025 CWELCC Reconciliation for LHCC (Peel Overseeing SSM)",'A1. Identification'!D7)</f>
        <v>Financial Annual Information Return (FAIR) and 2025 CWELCC Reconciliation for LHCC (Peel Overseeing SSM)</v>
      </c>
      <c r="C1" s="1062"/>
      <c r="D1" s="1062"/>
      <c r="E1" s="1062"/>
      <c r="F1" s="1062"/>
      <c r="G1" s="106" t="s">
        <v>1</v>
      </c>
      <c r="H1" s="107" t="str">
        <f>IF('A1. Identification'!$D$13=0, " ",'A1. Identification'!$D$13)</f>
        <v xml:space="preserve"> </v>
      </c>
    </row>
    <row r="2" spans="2:8" s="13" customFormat="1" ht="21.95" customHeight="1">
      <c r="B2" s="1062" t="s">
        <v>172</v>
      </c>
      <c r="C2" s="1062"/>
      <c r="D2" s="1062"/>
      <c r="E2" s="1062"/>
      <c r="F2" s="1062"/>
      <c r="G2" s="106" t="s">
        <v>3</v>
      </c>
      <c r="H2" s="107" t="str">
        <f>'A5. Operations'!L2</f>
        <v>Please enter Ministry licence number on tab A6 row 7</v>
      </c>
    </row>
    <row r="5" spans="2:8" ht="21">
      <c r="B5" s="1108" t="s">
        <v>173</v>
      </c>
      <c r="C5" s="1108"/>
      <c r="D5" s="1108"/>
      <c r="E5" s="1108"/>
      <c r="F5" s="1108"/>
    </row>
    <row r="6" spans="2:8" ht="19.5" customHeight="1" thickBot="1">
      <c r="B6" s="82"/>
    </row>
    <row r="7" spans="2:8" ht="15.75" customHeight="1">
      <c r="B7" s="1102" t="s">
        <v>174</v>
      </c>
      <c r="C7" s="1103"/>
      <c r="D7" s="1103"/>
      <c r="E7" s="1103"/>
      <c r="F7" s="1104"/>
    </row>
    <row r="8" spans="2:8" ht="15.75" customHeight="1">
      <c r="B8" s="1064"/>
      <c r="C8" s="1065"/>
      <c r="D8" s="1065"/>
      <c r="E8" s="1065"/>
      <c r="F8" s="1109"/>
    </row>
    <row r="9" spans="2:8" ht="51.75" customHeight="1" thickBot="1">
      <c r="B9" s="1105"/>
      <c r="C9" s="1106"/>
      <c r="D9" s="1106"/>
      <c r="E9" s="1106"/>
      <c r="F9" s="1107"/>
    </row>
    <row r="10" spans="2:8" ht="15.75" hidden="1" customHeight="1">
      <c r="B10" s="178"/>
      <c r="C10" s="178"/>
      <c r="D10" s="178"/>
      <c r="E10" s="178"/>
      <c r="F10" s="178"/>
    </row>
    <row r="11" spans="2:8" ht="18.95" hidden="1" customHeight="1">
      <c r="B11" s="1102" t="s">
        <v>175</v>
      </c>
      <c r="C11" s="1103"/>
      <c r="D11" s="1103"/>
      <c r="E11" s="1103"/>
      <c r="F11" s="1104"/>
    </row>
    <row r="12" spans="2:8" ht="15" hidden="1" customHeight="1">
      <c r="B12" s="1064"/>
      <c r="C12" s="1065"/>
      <c r="D12" s="1065"/>
      <c r="E12" s="1065"/>
      <c r="F12" s="1109"/>
    </row>
    <row r="13" spans="2:8" ht="24.75" hidden="1" customHeight="1" thickBot="1">
      <c r="B13" s="1105"/>
      <c r="C13" s="1106"/>
      <c r="D13" s="1106"/>
      <c r="E13" s="1106"/>
      <c r="F13" s="1107"/>
    </row>
    <row r="14" spans="2:8" ht="15.6" hidden="1">
      <c r="B14" s="178"/>
      <c r="C14" s="178"/>
      <c r="D14" s="178"/>
      <c r="E14" s="178"/>
      <c r="F14" s="178"/>
    </row>
    <row r="15" spans="2:8" ht="15" hidden="1" customHeight="1">
      <c r="B15" s="1102" t="s">
        <v>176</v>
      </c>
      <c r="C15" s="1103"/>
      <c r="D15" s="1103"/>
      <c r="E15" s="1103"/>
      <c r="F15" s="1104"/>
    </row>
    <row r="16" spans="2:8" hidden="1">
      <c r="B16" s="1064"/>
      <c r="C16" s="1065"/>
      <c r="D16" s="1065"/>
      <c r="E16" s="1065"/>
      <c r="F16" s="1109"/>
    </row>
    <row r="17" spans="2:13" ht="33" hidden="1" customHeight="1" thickBot="1">
      <c r="B17" s="1105"/>
      <c r="C17" s="1106"/>
      <c r="D17" s="1106"/>
      <c r="E17" s="1106"/>
      <c r="F17" s="1107"/>
    </row>
    <row r="18" spans="2:13" ht="15.6" hidden="1">
      <c r="B18" s="82"/>
    </row>
    <row r="19" spans="2:13" ht="18.75" hidden="1" customHeight="1">
      <c r="B19" s="1102" t="s">
        <v>177</v>
      </c>
      <c r="C19" s="1103"/>
      <c r="D19" s="1103"/>
      <c r="E19" s="1103"/>
      <c r="F19" s="1104"/>
    </row>
    <row r="20" spans="2:13" ht="41.25" hidden="1" customHeight="1" thickBot="1">
      <c r="B20" s="1105"/>
      <c r="C20" s="1106"/>
      <c r="D20" s="1106"/>
      <c r="E20" s="1106"/>
      <c r="F20" s="1107"/>
    </row>
    <row r="21" spans="2:13" ht="15.75" customHeight="1" thickBot="1">
      <c r="B21" s="178"/>
      <c r="C21" s="178"/>
      <c r="D21" s="178"/>
      <c r="E21" s="178"/>
      <c r="F21" s="178"/>
      <c r="K21" s="85"/>
    </row>
    <row r="22" spans="2:13" ht="18.75" customHeight="1">
      <c r="B22" s="1102" t="s">
        <v>178</v>
      </c>
      <c r="C22" s="1103"/>
      <c r="D22" s="1103"/>
      <c r="E22" s="1103"/>
      <c r="F22" s="1104"/>
      <c r="K22" s="85"/>
    </row>
    <row r="23" spans="2:13" ht="24" customHeight="1" thickBot="1">
      <c r="B23" s="1105"/>
      <c r="C23" s="1106"/>
      <c r="D23" s="1106"/>
      <c r="E23" s="1106"/>
      <c r="F23" s="1107"/>
      <c r="K23" s="85"/>
    </row>
    <row r="24" spans="2:13" ht="24" customHeight="1" thickBot="1">
      <c r="B24" s="214"/>
      <c r="C24" s="214"/>
      <c r="D24" s="214"/>
      <c r="E24" s="214"/>
      <c r="F24" s="214"/>
      <c r="K24" s="85"/>
    </row>
    <row r="25" spans="2:13">
      <c r="B25" s="1102" t="s">
        <v>179</v>
      </c>
      <c r="C25" s="1103"/>
      <c r="D25" s="1103"/>
      <c r="E25" s="1103"/>
      <c r="F25" s="1104"/>
      <c r="K25" s="85"/>
    </row>
    <row r="26" spans="2:13" ht="15" thickBot="1">
      <c r="B26" s="1105"/>
      <c r="C26" s="1106"/>
      <c r="D26" s="1106"/>
      <c r="E26" s="1106"/>
      <c r="F26" s="1107"/>
    </row>
    <row r="27" spans="2:13" ht="15.6">
      <c r="B27" s="178"/>
      <c r="C27" s="178"/>
      <c r="D27" s="178"/>
      <c r="E27" s="178"/>
      <c r="F27" s="178"/>
    </row>
    <row r="28" spans="2:13" ht="21">
      <c r="B28" s="1110" t="s">
        <v>180</v>
      </c>
      <c r="C28" s="1110"/>
      <c r="D28" s="1110"/>
      <c r="E28" s="1110"/>
      <c r="F28" s="1110"/>
      <c r="M28" s="215"/>
    </row>
    <row r="29" spans="2:13" ht="15.6">
      <c r="B29" s="178"/>
      <c r="C29" s="178"/>
      <c r="D29" s="178"/>
      <c r="E29" s="178"/>
      <c r="F29" s="178"/>
    </row>
    <row r="30" spans="2:13" ht="23.45">
      <c r="B30" s="93" t="s">
        <v>181</v>
      </c>
      <c r="C30" s="90"/>
      <c r="D30" s="90"/>
      <c r="E30" s="90"/>
      <c r="F30" s="90"/>
    </row>
    <row r="31" spans="2:13" ht="15.6">
      <c r="B31" s="91"/>
      <c r="C31" s="91"/>
      <c r="D31" s="91"/>
      <c r="E31" s="91"/>
      <c r="F31" s="91"/>
    </row>
    <row r="32" spans="2:13" ht="15" hidden="1" customHeight="1" outlineLevel="1">
      <c r="B32" s="82" t="s">
        <v>182</v>
      </c>
      <c r="C32" s="216"/>
      <c r="D32" s="216"/>
      <c r="E32" s="216"/>
      <c r="F32" s="216"/>
    </row>
    <row r="33" spans="1:10" ht="15" hidden="1" customHeight="1" outlineLevel="1">
      <c r="B33" s="82" t="s">
        <v>183</v>
      </c>
      <c r="C33" s="216"/>
      <c r="D33" s="216"/>
      <c r="E33" s="216"/>
      <c r="F33" s="216"/>
    </row>
    <row r="34" spans="1:10" ht="15" hidden="1" customHeight="1" outlineLevel="1" thickBot="1">
      <c r="B34" s="1065" t="str">
        <f>"For parent fees 0-6 split use actual enrollment for 0-6, for Lunch and refreshments providers can use the proration from tab 2 for 0-6 split of " &amp; TEXT('A2.Operating Plan'!C36,"0.00%")</f>
        <v xml:space="preserve">For parent fees 0-6 split use actual enrollment for 0-6, for Lunch and refreshments providers can use the proration from tab 2 for 0-6 split of </v>
      </c>
      <c r="C34" s="1065"/>
      <c r="D34" s="1065"/>
      <c r="E34" s="1065"/>
      <c r="F34" s="1065"/>
    </row>
    <row r="35" spans="1:10" ht="40.5" hidden="1" customHeight="1" outlineLevel="1">
      <c r="B35" s="1083"/>
      <c r="C35" s="1083"/>
      <c r="D35" s="1083"/>
      <c r="E35" s="1083"/>
      <c r="F35" s="1083"/>
      <c r="G35" s="1098" t="s">
        <v>184</v>
      </c>
      <c r="H35" s="1099"/>
      <c r="I35" s="1100"/>
    </row>
    <row r="36" spans="1:10" ht="55.5" hidden="1" outlineLevel="1">
      <c r="B36" s="217" t="s">
        <v>185</v>
      </c>
      <c r="C36" s="218" t="s">
        <v>186</v>
      </c>
      <c r="D36" s="217" t="s">
        <v>187</v>
      </c>
      <c r="E36" s="218" t="s">
        <v>188</v>
      </c>
      <c r="F36" s="219" t="s">
        <v>189</v>
      </c>
      <c r="G36" s="220" t="s">
        <v>190</v>
      </c>
      <c r="H36" s="217" t="s">
        <v>191</v>
      </c>
      <c r="I36" s="221" t="s">
        <v>192</v>
      </c>
    </row>
    <row r="37" spans="1:10" hidden="1" outlineLevel="1">
      <c r="B37" s="222" t="s">
        <v>193</v>
      </c>
      <c r="C37" s="222" t="s">
        <v>194</v>
      </c>
      <c r="D37" s="278"/>
      <c r="E37" s="279"/>
      <c r="F37" s="223">
        <f>+D37-E37</f>
        <v>0</v>
      </c>
      <c r="G37" s="280"/>
      <c r="H37" s="224">
        <f>E37-G37</f>
        <v>0</v>
      </c>
      <c r="I37" s="225">
        <f>+G37+H37</f>
        <v>0</v>
      </c>
    </row>
    <row r="38" spans="1:10" ht="15.75" hidden="1" customHeight="1" outlineLevel="1">
      <c r="B38" s="222" t="s">
        <v>195</v>
      </c>
      <c r="C38" s="222" t="s">
        <v>196</v>
      </c>
      <c r="D38" s="278"/>
      <c r="E38" s="279"/>
      <c r="F38" s="223">
        <f>+D38-E38</f>
        <v>0</v>
      </c>
      <c r="G38" s="280"/>
      <c r="H38" s="224">
        <f>+E38-G38</f>
        <v>0</v>
      </c>
      <c r="I38" s="225">
        <f t="shared" ref="I38:I39" si="0">+G38+H38</f>
        <v>0</v>
      </c>
      <c r="J38" s="101"/>
    </row>
    <row r="39" spans="1:10" ht="29.1" hidden="1" outlineLevel="1">
      <c r="B39" s="222" t="s">
        <v>197</v>
      </c>
      <c r="C39" s="222" t="s">
        <v>198</v>
      </c>
      <c r="D39" s="278"/>
      <c r="E39" s="279"/>
      <c r="F39" s="223">
        <f>+D39-E39</f>
        <v>0</v>
      </c>
      <c r="G39" s="281"/>
      <c r="H39" s="224">
        <f>+E39-G39</f>
        <v>0</v>
      </c>
      <c r="I39" s="226">
        <f t="shared" si="0"/>
        <v>0</v>
      </c>
      <c r="J39" s="101"/>
    </row>
    <row r="40" spans="1:10" ht="20.25" hidden="1" customHeight="1" outlineLevel="1" thickBot="1">
      <c r="B40" s="227" t="s">
        <v>199</v>
      </c>
      <c r="C40" s="227"/>
      <c r="D40" s="228">
        <f t="shared" ref="D40:H40" si="1">SUM(D37:D39)</f>
        <v>0</v>
      </c>
      <c r="E40" s="229">
        <f t="shared" si="1"/>
        <v>0</v>
      </c>
      <c r="F40" s="230">
        <f>SUM(F37:F39)</f>
        <v>0</v>
      </c>
      <c r="G40" s="231">
        <f>SUM(G37:G39)</f>
        <v>0</v>
      </c>
      <c r="H40" s="232">
        <f t="shared" si="1"/>
        <v>0</v>
      </c>
      <c r="I40" s="233">
        <f>SUM(I37:I39)</f>
        <v>0</v>
      </c>
      <c r="J40" s="234" t="str">
        <f>IF(E40&lt;&gt;I40, "Error: Total Spent for 0-12, does not equal Funding Spent as reported on GovGrants"," ")</f>
        <v xml:space="preserve"> </v>
      </c>
    </row>
    <row r="41" spans="1:10" ht="15.6" hidden="1" outlineLevel="1">
      <c r="B41" s="91"/>
      <c r="C41" s="91"/>
      <c r="D41" s="91"/>
      <c r="E41" s="234" t="str">
        <f>IF(E40&gt;D40,"Error: Total Funding Spent is higher than total awarded budget"," ")</f>
        <v xml:space="preserve"> </v>
      </c>
      <c r="F41" s="13"/>
      <c r="G41" s="234" t="str">
        <f>IF(G40&gt;E40,"Error: Funding for 0-6  is higher than Spent on GovGrants"," ")</f>
        <v xml:space="preserve"> </v>
      </c>
    </row>
    <row r="42" spans="1:10" ht="15.6" collapsed="1">
      <c r="A42" s="215" t="s">
        <v>200</v>
      </c>
      <c r="B42" s="82"/>
    </row>
    <row r="43" spans="1:10" ht="15.6" hidden="1">
      <c r="A43" s="82"/>
      <c r="B43" s="82"/>
    </row>
    <row r="44" spans="1:10" ht="23.45" hidden="1">
      <c r="B44" s="1082" t="s">
        <v>201</v>
      </c>
      <c r="C44" s="1082"/>
      <c r="D44" s="1082"/>
      <c r="E44" s="1082"/>
      <c r="F44" s="1082"/>
    </row>
    <row r="45" spans="1:10" ht="15.6" hidden="1">
      <c r="B45" s="13"/>
      <c r="C45" s="13"/>
      <c r="D45" s="13"/>
      <c r="E45" s="13"/>
      <c r="F45" s="13"/>
      <c r="G45" s="13"/>
      <c r="H45" s="13"/>
      <c r="I45" s="13"/>
    </row>
    <row r="46" spans="1:10" ht="18.95" hidden="1" thickBot="1">
      <c r="B46" s="1090" t="s">
        <v>202</v>
      </c>
      <c r="C46" s="1091"/>
      <c r="D46" s="1091"/>
      <c r="E46" s="1091"/>
      <c r="F46" s="1092"/>
    </row>
    <row r="47" spans="1:10" ht="15.75" hidden="1" customHeight="1">
      <c r="B47" s="1081" t="s">
        <v>203</v>
      </c>
      <c r="C47" s="1081"/>
      <c r="D47" s="1081"/>
      <c r="E47" s="1081"/>
      <c r="F47" s="1081"/>
    </row>
    <row r="48" spans="1:10" ht="15.75" hidden="1" customHeight="1">
      <c r="B48" s="1081"/>
      <c r="C48" s="1081"/>
      <c r="D48" s="1081"/>
      <c r="E48" s="1081"/>
      <c r="F48" s="1081"/>
    </row>
    <row r="49" spans="2:9" ht="15.75" hidden="1" customHeight="1">
      <c r="B49" s="1081"/>
      <c r="C49" s="1081"/>
      <c r="D49" s="1081"/>
      <c r="E49" s="1081"/>
      <c r="F49" s="1081"/>
    </row>
    <row r="50" spans="2:9" ht="74.25" hidden="1" customHeight="1">
      <c r="B50" s="1081"/>
      <c r="C50" s="1081"/>
      <c r="D50" s="1081"/>
      <c r="E50" s="1081"/>
      <c r="F50" s="1081"/>
    </row>
    <row r="51" spans="2:9" ht="22.5" hidden="1" customHeight="1" thickBot="1">
      <c r="B51" s="178"/>
      <c r="C51" s="178"/>
      <c r="D51" s="178"/>
      <c r="E51" s="178"/>
      <c r="F51" s="178"/>
    </row>
    <row r="52" spans="2:9" ht="18.600000000000001" hidden="1">
      <c r="B52" s="1084" t="s">
        <v>204</v>
      </c>
      <c r="C52" s="1085"/>
      <c r="D52" s="1085"/>
      <c r="E52" s="1086"/>
    </row>
    <row r="53" spans="2:9" ht="15.6" hidden="1">
      <c r="B53" s="78"/>
      <c r="C53" s="13"/>
      <c r="D53" s="13"/>
      <c r="E53" s="76"/>
      <c r="F53" s="13"/>
    </row>
    <row r="54" spans="2:9" ht="15.6" hidden="1">
      <c r="B54" s="78" t="s">
        <v>205</v>
      </c>
      <c r="C54" s="282"/>
      <c r="D54" s="13"/>
      <c r="E54" s="76"/>
      <c r="F54" s="13"/>
    </row>
    <row r="55" spans="2:9" ht="15.6" hidden="1">
      <c r="B55" s="71"/>
      <c r="E55" s="51"/>
      <c r="F55" s="13"/>
    </row>
    <row r="56" spans="2:9" ht="15.6" hidden="1">
      <c r="B56" s="78" t="s">
        <v>206</v>
      </c>
      <c r="C56" s="13"/>
      <c r="D56" s="13"/>
      <c r="E56" s="76"/>
      <c r="F56" s="13"/>
    </row>
    <row r="57" spans="2:9" ht="15.6" hidden="1">
      <c r="B57" s="235" t="s">
        <v>207</v>
      </c>
      <c r="C57" s="236" t="s">
        <v>208</v>
      </c>
      <c r="E57" s="76"/>
      <c r="F57" s="13"/>
    </row>
    <row r="58" spans="2:9" ht="15.6" hidden="1">
      <c r="B58" s="237" t="s">
        <v>209</v>
      </c>
      <c r="C58" s="81"/>
      <c r="D58" s="238"/>
      <c r="E58" s="76"/>
      <c r="F58" s="13"/>
      <c r="I58" s="52"/>
    </row>
    <row r="59" spans="2:9" ht="15.6" hidden="1">
      <c r="B59" s="239" t="s">
        <v>210</v>
      </c>
      <c r="C59" s="95"/>
      <c r="D59" s="240"/>
      <c r="E59" s="76"/>
      <c r="F59" s="13"/>
    </row>
    <row r="60" spans="2:9" ht="15.6" hidden="1">
      <c r="B60" s="239" t="s">
        <v>211</v>
      </c>
      <c r="C60" s="95"/>
      <c r="D60" s="79"/>
      <c r="E60" s="76"/>
      <c r="F60" s="13"/>
    </row>
    <row r="61" spans="2:9" ht="12.75" hidden="1" customHeight="1">
      <c r="B61" s="241" t="s">
        <v>212</v>
      </c>
      <c r="C61" s="242">
        <f>C58-C59-C60</f>
        <v>0</v>
      </c>
      <c r="E61" s="76"/>
      <c r="F61" s="13"/>
    </row>
    <row r="62" spans="2:9" ht="15.6" hidden="1">
      <c r="B62" s="78"/>
      <c r="C62" s="13"/>
      <c r="E62" s="76"/>
      <c r="F62" s="13"/>
    </row>
    <row r="63" spans="2:9" ht="15.6" hidden="1">
      <c r="B63" s="87" t="s">
        <v>213</v>
      </c>
      <c r="C63" s="236" t="s">
        <v>208</v>
      </c>
      <c r="D63" s="236" t="s">
        <v>125</v>
      </c>
      <c r="E63" s="51"/>
      <c r="F63" s="13"/>
    </row>
    <row r="64" spans="2:9" ht="15.6" hidden="1">
      <c r="B64" s="78" t="s">
        <v>212</v>
      </c>
      <c r="C64" s="242">
        <f>C61</f>
        <v>0</v>
      </c>
      <c r="D64" s="243"/>
      <c r="E64" s="51"/>
      <c r="F64" s="13"/>
      <c r="I64" s="170"/>
    </row>
    <row r="65" spans="2:6" ht="16.5" hidden="1" customHeight="1">
      <c r="B65" s="80" t="s">
        <v>214</v>
      </c>
      <c r="C65" s="95"/>
      <c r="D65" s="244">
        <f>IFERROR(C65/C64,0)</f>
        <v>0</v>
      </c>
      <c r="E65" s="51"/>
      <c r="F65" s="13"/>
    </row>
    <row r="66" spans="2:6" ht="15.6" hidden="1">
      <c r="B66" s="78" t="s">
        <v>215</v>
      </c>
      <c r="C66" s="242">
        <f>+C64-C65</f>
        <v>0</v>
      </c>
      <c r="D66" s="243"/>
      <c r="E66" s="51"/>
      <c r="F66" s="13"/>
    </row>
    <row r="67" spans="2:6" ht="15.6" hidden="1">
      <c r="B67" s="80" t="s">
        <v>216</v>
      </c>
      <c r="C67" s="95"/>
      <c r="D67" s="244">
        <f>IFERROR(C67/C66,0)</f>
        <v>0</v>
      </c>
      <c r="E67" s="51"/>
      <c r="F67" s="13"/>
    </row>
    <row r="68" spans="2:6" ht="15.6" hidden="1">
      <c r="B68" s="88" t="s">
        <v>217</v>
      </c>
      <c r="C68" s="89">
        <f>+C66-C67</f>
        <v>0</v>
      </c>
      <c r="D68" s="245"/>
      <c r="E68" s="51"/>
      <c r="F68" s="13"/>
    </row>
    <row r="69" spans="2:6" ht="15.6" hidden="1">
      <c r="B69" s="71"/>
      <c r="E69" s="51"/>
      <c r="F69" s="13"/>
    </row>
    <row r="70" spans="2:6" ht="15.75" hidden="1" customHeight="1">
      <c r="B70" s="1087" t="s">
        <v>218</v>
      </c>
      <c r="C70" s="1088"/>
      <c r="D70" s="1088"/>
      <c r="E70" s="1089"/>
      <c r="F70" s="13"/>
    </row>
    <row r="71" spans="2:6" ht="15.6" hidden="1">
      <c r="B71" s="71"/>
      <c r="E71" s="51"/>
      <c r="F71" s="13"/>
    </row>
    <row r="72" spans="2:6" ht="15.6" hidden="1">
      <c r="B72" s="78" t="s">
        <v>219</v>
      </c>
      <c r="D72" s="13"/>
      <c r="E72" s="76"/>
      <c r="F72" s="13"/>
    </row>
    <row r="73" spans="2:6" ht="15.6" hidden="1">
      <c r="B73" s="246" t="s">
        <v>207</v>
      </c>
      <c r="C73" s="236" t="s">
        <v>208</v>
      </c>
      <c r="D73" s="236" t="s">
        <v>220</v>
      </c>
      <c r="E73" s="76"/>
      <c r="F73" s="13"/>
    </row>
    <row r="74" spans="2:6" ht="15.6" hidden="1">
      <c r="B74" s="237" t="s">
        <v>221</v>
      </c>
      <c r="C74" s="81"/>
      <c r="D74" s="247">
        <f>IF(C54="YEs",0,IF((C58-C59-C60-C65-C67)-(C74-C75-C76-C77-C78)&gt;0,(C58-C59-C60-C65-C67)-(C74-C75-C76-C77-C78),0))</f>
        <v>0</v>
      </c>
      <c r="E74" s="51"/>
    </row>
    <row r="75" spans="2:6" ht="15.75" hidden="1" customHeight="1">
      <c r="B75" s="248" t="s">
        <v>222</v>
      </c>
      <c r="C75" s="95"/>
      <c r="D75" s="79"/>
      <c r="E75" s="249"/>
    </row>
    <row r="76" spans="2:6" ht="15.6" hidden="1">
      <c r="B76" s="248" t="s">
        <v>223</v>
      </c>
      <c r="C76" s="95"/>
      <c r="D76" s="234" t="str">
        <f>IF(C74-C75-C76&lt;0,"Error Costs of Project’s is lower than costs covered by insurance and landlord"," ")</f>
        <v xml:space="preserve"> </v>
      </c>
      <c r="E76" s="249"/>
      <c r="F76" s="13"/>
    </row>
    <row r="77" spans="2:6" ht="15.6" hidden="1">
      <c r="B77" s="248" t="s">
        <v>224</v>
      </c>
      <c r="C77" s="250">
        <f>IF((C74-C75-C76)&gt;C61,C65,(C74-C75-C76)*D65)</f>
        <v>0</v>
      </c>
      <c r="D77" s="234" t="str">
        <f>IF($C$74-$C$75-$C$76&gt;C64,"For OTEF reconciliation proration maximum is the amount approved", " ")</f>
        <v xml:space="preserve"> </v>
      </c>
      <c r="E77" s="249"/>
      <c r="F77" s="13"/>
    </row>
    <row r="78" spans="2:6" ht="15.6" hidden="1">
      <c r="B78" s="248" t="s">
        <v>225</v>
      </c>
      <c r="C78" s="250">
        <f>IF((+C74-C75-C76-C77)&gt;C61-C65,C67,(+C74-C75-C76-C77)*D67)</f>
        <v>0</v>
      </c>
      <c r="D78" s="234" t="str">
        <f>IF($C$74-$C$75-$C$76&gt;C64,"For OTEF reconciliation cost sharing maximum is amount approved", " ")</f>
        <v xml:space="preserve"> </v>
      </c>
      <c r="E78" s="94"/>
      <c r="F78" s="13"/>
    </row>
    <row r="79" spans="2:6" ht="15.6" hidden="1">
      <c r="B79" s="241" t="s">
        <v>226</v>
      </c>
      <c r="C79" s="251">
        <f>IF(C61&gt;C74-C75-C76,C74-C75-C76-C77-C78,C68)</f>
        <v>0</v>
      </c>
      <c r="D79" s="234" t="str">
        <f>IF(C74-C75-C76&gt;C61,"Total Project cost is higher than Approved Project cost, maximum is Total OTEF funding received", " ")</f>
        <v xml:space="preserve"> </v>
      </c>
      <c r="E79" s="94"/>
      <c r="F79" s="13"/>
    </row>
    <row r="80" spans="2:6" ht="15.6" hidden="1">
      <c r="B80" s="78"/>
      <c r="C80" s="252"/>
      <c r="E80" s="51"/>
      <c r="F80" s="13"/>
    </row>
    <row r="81" spans="1:6" ht="15" hidden="1" customHeight="1">
      <c r="B81" s="235" t="s">
        <v>227</v>
      </c>
      <c r="C81" s="253" t="s">
        <v>208</v>
      </c>
      <c r="D81" s="238"/>
      <c r="E81" s="76"/>
      <c r="F81" s="13"/>
    </row>
    <row r="82" spans="1:6" ht="15.6" hidden="1">
      <c r="B82" s="254" t="s">
        <v>228</v>
      </c>
      <c r="C82" s="255">
        <f>IF(D74&lt;&gt;0,0,D82)</f>
        <v>0</v>
      </c>
      <c r="D82" s="256">
        <f>IF(C68&lt;(C74-C75-C76-C77-C78),C68,+C74-C75-C76-C77-C78)</f>
        <v>0</v>
      </c>
      <c r="E82" s="76"/>
      <c r="F82" s="13"/>
    </row>
    <row r="83" spans="1:6" ht="15.95" hidden="1" thickBot="1">
      <c r="B83" s="257" t="s">
        <v>229</v>
      </c>
      <c r="C83" s="258">
        <f>IF(D74&lt;&gt;0,0,C68-C82)</f>
        <v>0</v>
      </c>
      <c r="D83" s="259"/>
      <c r="E83" s="77"/>
      <c r="F83" s="13"/>
    </row>
    <row r="84" spans="1:6" ht="15.6" hidden="1">
      <c r="B84" s="13"/>
      <c r="C84" s="260"/>
      <c r="D84" s="261"/>
      <c r="E84" s="13"/>
      <c r="F84" s="13"/>
    </row>
    <row r="85" spans="1:6" ht="15.6" hidden="1">
      <c r="A85" s="215" t="s">
        <v>200</v>
      </c>
      <c r="B85" s="82"/>
      <c r="C85" s="13"/>
      <c r="D85" s="13"/>
      <c r="E85" s="13"/>
      <c r="F85" s="13"/>
    </row>
    <row r="86" spans="1:6" ht="15.6" hidden="1">
      <c r="A86" s="82"/>
      <c r="B86" s="82"/>
      <c r="C86" s="13"/>
      <c r="D86" s="13"/>
      <c r="E86" s="13"/>
      <c r="F86" s="13"/>
    </row>
    <row r="87" spans="1:6" ht="23.45" hidden="1">
      <c r="B87" s="1082" t="s">
        <v>230</v>
      </c>
      <c r="C87" s="1082"/>
      <c r="D87" s="1082"/>
      <c r="E87" s="1082"/>
      <c r="F87" s="1082"/>
    </row>
    <row r="88" spans="1:6" ht="15.6" hidden="1">
      <c r="B88" s="13"/>
      <c r="C88" s="13"/>
      <c r="D88" s="13"/>
      <c r="E88" s="13"/>
      <c r="F88" s="13"/>
    </row>
    <row r="89" spans="1:6" ht="17.25" hidden="1" customHeight="1" thickBot="1">
      <c r="B89" s="1093" t="s">
        <v>231</v>
      </c>
      <c r="C89" s="1094"/>
      <c r="D89" s="1094"/>
      <c r="E89" s="1094"/>
      <c r="F89" s="1095"/>
    </row>
    <row r="90" spans="1:6" ht="15.6" hidden="1">
      <c r="B90" s="13"/>
      <c r="C90" s="13"/>
      <c r="D90" s="13"/>
      <c r="E90" s="13"/>
      <c r="F90" s="13"/>
    </row>
    <row r="91" spans="1:6" ht="15.75" hidden="1" customHeight="1">
      <c r="B91" s="1081" t="s">
        <v>232</v>
      </c>
      <c r="C91" s="1081"/>
      <c r="D91" s="1081"/>
      <c r="E91" s="1081"/>
      <c r="F91" s="1081"/>
    </row>
    <row r="92" spans="1:6" ht="15.75" hidden="1" customHeight="1">
      <c r="B92" s="1081"/>
      <c r="C92" s="1081"/>
      <c r="D92" s="1081"/>
      <c r="E92" s="1081"/>
      <c r="F92" s="1081"/>
    </row>
    <row r="93" spans="1:6" ht="15.6" hidden="1">
      <c r="B93" s="13"/>
      <c r="C93" s="13"/>
      <c r="D93" s="13"/>
      <c r="E93" s="13"/>
      <c r="F93" s="13"/>
    </row>
    <row r="94" spans="1:6" ht="18.600000000000001" hidden="1">
      <c r="B94" s="1084" t="s">
        <v>233</v>
      </c>
      <c r="C94" s="1085"/>
      <c r="D94" s="1085"/>
      <c r="E94" s="1086"/>
      <c r="F94" s="13"/>
    </row>
    <row r="95" spans="1:6" ht="15.6" hidden="1">
      <c r="B95" s="73"/>
      <c r="C95" s="13"/>
      <c r="D95" s="13"/>
      <c r="E95" s="76"/>
      <c r="F95" s="13"/>
    </row>
    <row r="96" spans="1:6" ht="15.6" hidden="1">
      <c r="B96" s="78" t="s">
        <v>234</v>
      </c>
      <c r="C96" s="13"/>
      <c r="D96" s="13"/>
      <c r="E96" s="76"/>
      <c r="F96" s="13"/>
    </row>
    <row r="97" spans="2:13" ht="15.6" hidden="1">
      <c r="B97" s="87" t="s">
        <v>207</v>
      </c>
      <c r="C97" s="92" t="s">
        <v>208</v>
      </c>
      <c r="E97" s="76"/>
      <c r="F97" s="13"/>
    </row>
    <row r="98" spans="2:13" ht="15.6" hidden="1">
      <c r="B98" s="78" t="s">
        <v>209</v>
      </c>
      <c r="C98" s="81"/>
      <c r="D98" s="238"/>
      <c r="E98" s="76"/>
      <c r="F98" s="13"/>
    </row>
    <row r="99" spans="2:13" ht="15.6" hidden="1">
      <c r="B99" s="80" t="s">
        <v>210</v>
      </c>
      <c r="C99" s="95"/>
      <c r="D99" s="238"/>
      <c r="E99" s="76"/>
      <c r="F99" s="13"/>
    </row>
    <row r="100" spans="2:13" ht="15.6" hidden="1">
      <c r="B100" s="80" t="s">
        <v>211</v>
      </c>
      <c r="C100" s="95"/>
      <c r="E100" s="76"/>
      <c r="F100" s="13"/>
    </row>
    <row r="101" spans="2:13" ht="15.6" hidden="1">
      <c r="B101" s="88" t="s">
        <v>212</v>
      </c>
      <c r="C101" s="262">
        <f>+C98-C99-C100</f>
        <v>0</v>
      </c>
      <c r="E101" s="76"/>
      <c r="F101" s="13"/>
    </row>
    <row r="102" spans="2:13" ht="15.6" hidden="1">
      <c r="B102" s="78"/>
      <c r="C102" s="252"/>
      <c r="D102" s="238"/>
      <c r="E102" s="76"/>
      <c r="F102" s="13"/>
    </row>
    <row r="103" spans="2:13" ht="15.6" hidden="1">
      <c r="B103" s="87" t="s">
        <v>213</v>
      </c>
      <c r="C103" s="92" t="s">
        <v>208</v>
      </c>
      <c r="D103" s="236" t="s">
        <v>125</v>
      </c>
      <c r="E103" s="76"/>
      <c r="F103" s="13"/>
    </row>
    <row r="104" spans="2:13" ht="15.6" hidden="1">
      <c r="B104" s="78" t="s">
        <v>212</v>
      </c>
      <c r="C104" s="242">
        <f>C101</f>
        <v>0</v>
      </c>
      <c r="D104" s="243"/>
      <c r="E104" s="76"/>
      <c r="F104" s="13"/>
    </row>
    <row r="105" spans="2:13" ht="15.6" hidden="1">
      <c r="B105" s="80" t="s">
        <v>214</v>
      </c>
      <c r="C105" s="95"/>
      <c r="D105" s="244">
        <f>IFERROR(C105/C101,0)</f>
        <v>0</v>
      </c>
      <c r="E105" s="76"/>
      <c r="F105" s="13"/>
    </row>
    <row r="106" spans="2:13" ht="15.6" hidden="1">
      <c r="B106" s="78" t="s">
        <v>215</v>
      </c>
      <c r="C106" s="242">
        <f>C104-C105</f>
        <v>0</v>
      </c>
      <c r="D106" s="243"/>
      <c r="E106" s="76"/>
      <c r="F106" s="13"/>
    </row>
    <row r="107" spans="2:13" ht="15.6" hidden="1">
      <c r="B107" s="80" t="s">
        <v>216</v>
      </c>
      <c r="C107" s="95"/>
      <c r="D107" s="244">
        <f>IFERROR(C107/C106,0)</f>
        <v>0</v>
      </c>
      <c r="E107" s="76"/>
      <c r="F107" s="13"/>
    </row>
    <row r="108" spans="2:13" ht="15.6" hidden="1">
      <c r="B108" s="88" t="s">
        <v>217</v>
      </c>
      <c r="C108" s="89">
        <f>C106-C107</f>
        <v>0</v>
      </c>
      <c r="D108" s="245"/>
      <c r="E108" s="76"/>
      <c r="F108" s="13"/>
    </row>
    <row r="109" spans="2:13" ht="15.6" hidden="1">
      <c r="B109" s="73"/>
      <c r="C109" s="13"/>
      <c r="D109" s="13"/>
      <c r="E109" s="76"/>
      <c r="F109" s="13"/>
      <c r="M109" s="385"/>
    </row>
    <row r="110" spans="2:13" ht="18.600000000000001" hidden="1">
      <c r="B110" s="1087" t="s">
        <v>218</v>
      </c>
      <c r="C110" s="1088"/>
      <c r="D110" s="1088"/>
      <c r="E110" s="1089"/>
      <c r="F110" s="13"/>
    </row>
    <row r="111" spans="2:13" ht="15.6" hidden="1">
      <c r="B111" s="78"/>
      <c r="D111" s="13"/>
      <c r="E111" s="76"/>
      <c r="F111" s="13"/>
      <c r="M111" s="385"/>
    </row>
    <row r="112" spans="2:13" ht="15.6" hidden="1">
      <c r="B112" s="78" t="s">
        <v>235</v>
      </c>
      <c r="D112" s="13"/>
      <c r="E112" s="76"/>
      <c r="F112" s="13"/>
      <c r="J112" s="386"/>
      <c r="M112" s="385"/>
    </row>
    <row r="113" spans="1:14" ht="15.6" hidden="1">
      <c r="B113" s="87" t="s">
        <v>207</v>
      </c>
      <c r="C113" s="92" t="s">
        <v>208</v>
      </c>
      <c r="D113" s="238"/>
      <c r="E113" s="76"/>
      <c r="F113" s="13"/>
      <c r="J113" s="385"/>
      <c r="M113" s="385"/>
    </row>
    <row r="114" spans="1:14" ht="15.6" hidden="1">
      <c r="B114" s="78" t="s">
        <v>236</v>
      </c>
      <c r="C114" s="81"/>
      <c r="E114" s="76"/>
      <c r="F114" s="13"/>
      <c r="J114" s="385"/>
      <c r="N114" s="52"/>
    </row>
    <row r="115" spans="1:14" ht="15.6" hidden="1">
      <c r="B115" s="80" t="s">
        <v>222</v>
      </c>
      <c r="C115" s="95"/>
      <c r="E115" s="76"/>
      <c r="F115" s="13"/>
      <c r="J115" s="385"/>
    </row>
    <row r="116" spans="1:14" ht="15.6" hidden="1">
      <c r="B116" s="80" t="s">
        <v>223</v>
      </c>
      <c r="C116" s="95"/>
      <c r="D116" s="234" t="str">
        <f>IF(C114-C115-C116&lt;0,"Error: Costs of Project’s is lower than costs covered by insurance and landlord"," ")</f>
        <v xml:space="preserve"> </v>
      </c>
      <c r="E116" s="76"/>
      <c r="F116" s="13"/>
      <c r="J116" s="387"/>
    </row>
    <row r="117" spans="1:14" ht="15.6" hidden="1">
      <c r="B117" s="80" t="s">
        <v>224</v>
      </c>
      <c r="C117" s="250">
        <f>IF((C114-C115-C116)&gt;C106,C105,(C114-C115-C116)*D105)</f>
        <v>0</v>
      </c>
      <c r="D117" s="234" t="str">
        <f>IF(C114-C115-C116&gt;C101,"For OTEF reconciliation proration maximum is the amount approved", " ")</f>
        <v xml:space="preserve"> </v>
      </c>
      <c r="E117" s="263"/>
      <c r="F117" s="13"/>
    </row>
    <row r="118" spans="1:14" ht="15.6" hidden="1">
      <c r="B118" s="80" t="s">
        <v>225</v>
      </c>
      <c r="C118" s="250">
        <f>IF((C114-C115-C116)&gt;C101,C107,(+C114-C115-C116-C117)*D107)</f>
        <v>0</v>
      </c>
      <c r="D118" s="234" t="str">
        <f>IF(C114-C115-C116&gt;C101,"For OTEF reconciliation cost sharing maximum is amount approved", " ")</f>
        <v xml:space="preserve"> </v>
      </c>
      <c r="E118" s="76"/>
      <c r="F118" s="13"/>
    </row>
    <row r="119" spans="1:14" ht="15.6" hidden="1">
      <c r="B119" s="88" t="s">
        <v>226</v>
      </c>
      <c r="C119" s="262">
        <f>IF(C106&lt;(C114-C115-C116),C108,+C114-C115-C116-C117-C118)</f>
        <v>0</v>
      </c>
      <c r="D119" s="234" t="str">
        <f>IF(C114-C115-C116&gt;C101,"Total Project cost is higher than Approved Project cost, max eligible cost is Total OTEF funding received", " ")</f>
        <v xml:space="preserve"> </v>
      </c>
      <c r="E119" s="76"/>
      <c r="F119" s="13"/>
    </row>
    <row r="120" spans="1:14" ht="15.95" hidden="1" thickBot="1">
      <c r="B120" s="193"/>
      <c r="C120" s="194"/>
      <c r="D120" s="194"/>
      <c r="E120" s="264"/>
      <c r="F120" s="13"/>
    </row>
    <row r="121" spans="1:14" ht="15.6" hidden="1">
      <c r="B121" s="13"/>
      <c r="C121" s="13"/>
      <c r="D121" s="13"/>
      <c r="E121" s="13"/>
      <c r="F121" s="13"/>
    </row>
    <row r="122" spans="1:14" ht="15.6" hidden="1">
      <c r="A122" s="215" t="s">
        <v>200</v>
      </c>
      <c r="B122" s="82"/>
      <c r="C122" s="13"/>
      <c r="D122" s="13"/>
      <c r="E122" s="13"/>
      <c r="F122" s="13"/>
    </row>
    <row r="123" spans="1:14" ht="15.6" hidden="1">
      <c r="A123" s="215"/>
      <c r="B123" s="82"/>
      <c r="C123" s="13"/>
      <c r="D123" s="13"/>
      <c r="E123" s="13"/>
      <c r="F123" s="13"/>
    </row>
    <row r="124" spans="1:14" ht="23.45" hidden="1">
      <c r="B124" s="1082" t="s">
        <v>237</v>
      </c>
      <c r="C124" s="1082"/>
      <c r="D124" s="1082"/>
      <c r="E124" s="1082"/>
      <c r="F124" s="1082"/>
    </row>
    <row r="125" spans="1:14" hidden="1"/>
    <row r="126" spans="1:14" ht="21.95" hidden="1" customHeight="1">
      <c r="B126" s="82" t="s">
        <v>238</v>
      </c>
      <c r="C126" s="216"/>
      <c r="D126" s="216"/>
    </row>
    <row r="127" spans="1:14" hidden="1">
      <c r="B127" s="1081"/>
      <c r="C127" s="1081"/>
      <c r="D127" s="1081"/>
      <c r="E127" s="1081"/>
      <c r="F127" s="1101" t="s">
        <v>239</v>
      </c>
      <c r="G127" s="1101"/>
      <c r="H127" s="1101"/>
    </row>
    <row r="128" spans="1:14" ht="18.75" hidden="1" customHeight="1">
      <c r="B128" s="1081"/>
      <c r="C128" s="1081"/>
      <c r="D128" s="1081"/>
      <c r="E128" s="1081"/>
      <c r="F128" s="1101"/>
      <c r="G128" s="1101"/>
      <c r="H128" s="1101"/>
    </row>
    <row r="129" spans="1:8" ht="55.5" hidden="1">
      <c r="B129" s="217" t="s">
        <v>240</v>
      </c>
      <c r="C129" s="217" t="s">
        <v>187</v>
      </c>
      <c r="D129" s="218" t="s">
        <v>188</v>
      </c>
      <c r="E129" s="217" t="s">
        <v>189</v>
      </c>
      <c r="F129" s="217" t="s">
        <v>190</v>
      </c>
      <c r="G129" s="217" t="s">
        <v>191</v>
      </c>
      <c r="H129" s="221" t="s">
        <v>192</v>
      </c>
    </row>
    <row r="130" spans="1:8" ht="15.6" hidden="1">
      <c r="B130" s="265" t="s">
        <v>241</v>
      </c>
      <c r="C130" s="278"/>
      <c r="D130" s="279"/>
      <c r="E130" s="223">
        <f>+C130-D130</f>
        <v>0</v>
      </c>
      <c r="F130" s="278"/>
      <c r="G130" s="266">
        <f>+D130-F130</f>
        <v>0</v>
      </c>
      <c r="H130" s="267">
        <f>+F130+G130</f>
        <v>0</v>
      </c>
    </row>
    <row r="131" spans="1:8" ht="15.6" hidden="1">
      <c r="B131" s="268"/>
      <c r="C131" s="13"/>
      <c r="D131" s="234"/>
      <c r="E131" s="13"/>
      <c r="F131" s="234"/>
    </row>
    <row r="132" spans="1:8" ht="15.6" hidden="1">
      <c r="A132" s="215" t="s">
        <v>200</v>
      </c>
      <c r="B132" s="268"/>
      <c r="C132" s="13"/>
      <c r="D132" s="234"/>
      <c r="E132" s="13"/>
      <c r="F132" s="234"/>
    </row>
    <row r="133" spans="1:8" ht="15.6">
      <c r="A133" s="215"/>
      <c r="B133" s="268"/>
      <c r="C133" s="13"/>
      <c r="D133" s="234"/>
      <c r="E133" s="13"/>
      <c r="F133" s="234"/>
    </row>
    <row r="134" spans="1:8" ht="23.45">
      <c r="B134" s="1082" t="s">
        <v>242</v>
      </c>
      <c r="C134" s="1082"/>
      <c r="D134" s="1082"/>
      <c r="E134" s="1082"/>
      <c r="F134" s="1082"/>
    </row>
    <row r="135" spans="1:8" ht="15.6">
      <c r="B135" s="91"/>
      <c r="C135" s="13"/>
      <c r="D135" s="13"/>
      <c r="E135" s="13"/>
      <c r="F135" s="13"/>
    </row>
    <row r="136" spans="1:8" ht="15.6" hidden="1" outlineLevel="1">
      <c r="B136" s="82" t="s">
        <v>243</v>
      </c>
      <c r="C136" s="13"/>
      <c r="D136" s="13"/>
      <c r="E136" s="13"/>
      <c r="F136" s="13"/>
    </row>
    <row r="137" spans="1:8" ht="15.6" hidden="1" outlineLevel="1">
      <c r="B137" s="82"/>
      <c r="C137" s="13"/>
      <c r="D137" s="13"/>
      <c r="E137" s="13"/>
      <c r="F137" s="13"/>
    </row>
    <row r="138" spans="1:8" ht="15.6" hidden="1" outlineLevel="1">
      <c r="B138" s="82" t="s">
        <v>205</v>
      </c>
      <c r="C138" s="282"/>
      <c r="D138" s="13"/>
      <c r="E138" s="13"/>
      <c r="F138" s="13"/>
    </row>
    <row r="139" spans="1:8" ht="15.6" hidden="1" outlineLevel="1">
      <c r="B139" s="72"/>
      <c r="C139" s="13"/>
      <c r="D139" s="13"/>
      <c r="E139" s="13"/>
      <c r="F139" s="13"/>
    </row>
    <row r="140" spans="1:8" ht="18.600000000000001" hidden="1" outlineLevel="1">
      <c r="B140" s="269" t="s">
        <v>244</v>
      </c>
      <c r="C140" s="217" t="s">
        <v>245</v>
      </c>
      <c r="D140" s="217" t="s">
        <v>246</v>
      </c>
      <c r="E140" s="217" t="s">
        <v>189</v>
      </c>
      <c r="F140" s="217" t="s">
        <v>220</v>
      </c>
      <c r="G140" s="270"/>
    </row>
    <row r="141" spans="1:8" ht="18.600000000000001" hidden="1" outlineLevel="1">
      <c r="B141" s="271" t="s">
        <v>247</v>
      </c>
      <c r="C141" s="283"/>
      <c r="D141" s="283"/>
      <c r="E141" s="272">
        <f>IF(C138="Yes",IF(C141-D141&lt;0,0,C141-D141),0)</f>
        <v>0</v>
      </c>
      <c r="F141" s="273">
        <f>IF((C141-D141)&lt;0,0,IF(C138="No",C141-D141,0))</f>
        <v>0</v>
      </c>
      <c r="G141" s="101"/>
    </row>
    <row r="142" spans="1:8" ht="18.600000000000001" hidden="1" outlineLevel="1">
      <c r="B142" s="274"/>
      <c r="E142" s="275"/>
      <c r="F142" s="276"/>
      <c r="G142" s="101"/>
    </row>
    <row r="143" spans="1:8" ht="15.6" collapsed="1">
      <c r="A143" s="215" t="s">
        <v>200</v>
      </c>
      <c r="B143" s="277"/>
      <c r="C143" s="13"/>
      <c r="D143" s="13"/>
      <c r="E143" s="13"/>
      <c r="F143" s="13"/>
    </row>
    <row r="144" spans="1:8" ht="15.6" collapsed="1">
      <c r="C144" s="13"/>
      <c r="D144" s="13"/>
      <c r="E144" s="13"/>
      <c r="F144" s="13"/>
    </row>
    <row r="145" spans="2:8" ht="23.45">
      <c r="B145" s="1082" t="s">
        <v>248</v>
      </c>
      <c r="C145" s="1082"/>
      <c r="D145" s="1082"/>
      <c r="E145" s="1082"/>
      <c r="F145" s="1082"/>
    </row>
    <row r="146" spans="2:8" ht="18.75" customHeight="1">
      <c r="C146" s="13"/>
      <c r="D146" s="13"/>
      <c r="E146" s="13"/>
    </row>
    <row r="147" spans="2:8" ht="18.75" hidden="1" customHeight="1" outlineLevel="1">
      <c r="B147" s="82" t="s">
        <v>249</v>
      </c>
      <c r="C147" s="13"/>
      <c r="D147" s="13"/>
      <c r="E147" s="13"/>
      <c r="F147" s="1096" t="s">
        <v>184</v>
      </c>
      <c r="G147" s="1096"/>
      <c r="H147" s="1096"/>
    </row>
    <row r="148" spans="2:8" ht="15.6" hidden="1" outlineLevel="1" collapsed="1">
      <c r="B148" s="13"/>
      <c r="C148" s="13"/>
      <c r="D148" s="13"/>
      <c r="E148" s="13"/>
      <c r="F148" s="1097"/>
      <c r="G148" s="1097"/>
      <c r="H148" s="1097"/>
    </row>
    <row r="149" spans="2:8" ht="55.5" hidden="1" outlineLevel="1">
      <c r="B149" s="217" t="s">
        <v>250</v>
      </c>
      <c r="C149" s="794" t="s">
        <v>251</v>
      </c>
      <c r="D149" s="794" t="s">
        <v>188</v>
      </c>
      <c r="E149" s="795" t="s">
        <v>189</v>
      </c>
      <c r="F149" s="795" t="s">
        <v>190</v>
      </c>
      <c r="G149" s="795" t="s">
        <v>191</v>
      </c>
      <c r="H149" s="794" t="s">
        <v>252</v>
      </c>
    </row>
    <row r="150" spans="2:8" ht="18.600000000000001" hidden="1" outlineLevel="1">
      <c r="B150" s="796" t="s">
        <v>253</v>
      </c>
      <c r="C150" s="804"/>
      <c r="D150" s="805"/>
      <c r="E150" s="797">
        <f>IF(C150-D150&lt;0,0,C150-D150)</f>
        <v>0</v>
      </c>
      <c r="F150" s="798"/>
      <c r="G150" s="799">
        <f>D150</f>
        <v>0</v>
      </c>
      <c r="H150" s="800">
        <f>G150</f>
        <v>0</v>
      </c>
    </row>
    <row r="151" spans="2:8" ht="18.600000000000001" hidden="1" outlineLevel="1">
      <c r="B151" s="796" t="s">
        <v>254</v>
      </c>
      <c r="C151" s="804"/>
      <c r="D151" s="805"/>
      <c r="E151" s="797">
        <f t="shared" ref="E151:E159" si="2">IF(C151-D151&lt;0,0,C151-D151)</f>
        <v>0</v>
      </c>
      <c r="F151" s="798"/>
      <c r="G151" s="799">
        <f t="shared" ref="G151:G155" si="3">D151</f>
        <v>0</v>
      </c>
      <c r="H151" s="800">
        <f t="shared" ref="H151:H155" si="4">G151</f>
        <v>0</v>
      </c>
    </row>
    <row r="152" spans="2:8" ht="18.600000000000001" hidden="1" outlineLevel="1">
      <c r="B152" s="796" t="s">
        <v>255</v>
      </c>
      <c r="C152" s="804"/>
      <c r="D152" s="805"/>
      <c r="E152" s="797">
        <f t="shared" si="2"/>
        <v>0</v>
      </c>
      <c r="F152" s="801"/>
      <c r="G152" s="799">
        <f t="shared" si="3"/>
        <v>0</v>
      </c>
      <c r="H152" s="800">
        <f t="shared" si="4"/>
        <v>0</v>
      </c>
    </row>
    <row r="153" spans="2:8" ht="18.600000000000001" hidden="1" outlineLevel="1">
      <c r="B153" s="796" t="s">
        <v>256</v>
      </c>
      <c r="C153" s="804"/>
      <c r="D153" s="805"/>
      <c r="E153" s="797">
        <f t="shared" si="2"/>
        <v>0</v>
      </c>
      <c r="F153" s="801"/>
      <c r="G153" s="799">
        <f t="shared" si="3"/>
        <v>0</v>
      </c>
      <c r="H153" s="800">
        <f t="shared" si="4"/>
        <v>0</v>
      </c>
    </row>
    <row r="154" spans="2:8" ht="18.600000000000001" hidden="1" outlineLevel="1">
      <c r="B154" s="796" t="s">
        <v>257</v>
      </c>
      <c r="C154" s="804"/>
      <c r="D154" s="805"/>
      <c r="E154" s="797">
        <f t="shared" si="2"/>
        <v>0</v>
      </c>
      <c r="F154" s="801"/>
      <c r="G154" s="799">
        <f t="shared" si="3"/>
        <v>0</v>
      </c>
      <c r="H154" s="800">
        <f t="shared" si="4"/>
        <v>0</v>
      </c>
    </row>
    <row r="155" spans="2:8" ht="18.600000000000001" hidden="1" outlineLevel="1">
      <c r="B155" s="796" t="s">
        <v>258</v>
      </c>
      <c r="C155" s="804"/>
      <c r="D155" s="805"/>
      <c r="E155" s="797">
        <f t="shared" si="2"/>
        <v>0</v>
      </c>
      <c r="F155" s="801"/>
      <c r="G155" s="799">
        <f t="shared" si="3"/>
        <v>0</v>
      </c>
      <c r="H155" s="800">
        <f t="shared" si="4"/>
        <v>0</v>
      </c>
    </row>
    <row r="156" spans="2:8" ht="18.600000000000001" hidden="1" outlineLevel="1">
      <c r="B156" s="796" t="s">
        <v>259</v>
      </c>
      <c r="C156" s="804"/>
      <c r="D156" s="805"/>
      <c r="E156" s="797">
        <f t="shared" si="2"/>
        <v>0</v>
      </c>
      <c r="F156" s="801"/>
      <c r="G156" s="799">
        <f>D156</f>
        <v>0</v>
      </c>
      <c r="H156" s="800">
        <f>+F156+G156</f>
        <v>0</v>
      </c>
    </row>
    <row r="157" spans="2:8" ht="18.600000000000001" hidden="1" outlineLevel="1">
      <c r="B157" s="796" t="s">
        <v>260</v>
      </c>
      <c r="C157" s="804"/>
      <c r="D157" s="805"/>
      <c r="E157" s="797">
        <f t="shared" si="2"/>
        <v>0</v>
      </c>
      <c r="F157" s="776"/>
      <c r="G157" s="799">
        <f t="shared" ref="G157:G159" si="5">D157-F157</f>
        <v>0</v>
      </c>
      <c r="H157" s="800">
        <f>+F157+G157</f>
        <v>0</v>
      </c>
    </row>
    <row r="158" spans="2:8" ht="18.600000000000001" hidden="1" outlineLevel="1">
      <c r="B158" s="796" t="s">
        <v>261</v>
      </c>
      <c r="C158" s="804"/>
      <c r="D158" s="805"/>
      <c r="E158" s="797">
        <f t="shared" si="2"/>
        <v>0</v>
      </c>
      <c r="F158" s="776"/>
      <c r="G158" s="799">
        <f t="shared" si="5"/>
        <v>0</v>
      </c>
      <c r="H158" s="800">
        <f t="shared" ref="H158:H160" si="6">+F158+G158</f>
        <v>0</v>
      </c>
    </row>
    <row r="159" spans="2:8" ht="18.600000000000001" hidden="1" outlineLevel="1">
      <c r="B159" s="796" t="s">
        <v>262</v>
      </c>
      <c r="C159" s="804"/>
      <c r="D159" s="805"/>
      <c r="E159" s="797">
        <f t="shared" si="2"/>
        <v>0</v>
      </c>
      <c r="F159" s="776"/>
      <c r="G159" s="799">
        <f t="shared" si="5"/>
        <v>0</v>
      </c>
      <c r="H159" s="800">
        <f t="shared" si="6"/>
        <v>0</v>
      </c>
    </row>
    <row r="160" spans="2:8" ht="18.600000000000001" hidden="1" outlineLevel="1">
      <c r="B160" s="796" t="s">
        <v>171</v>
      </c>
      <c r="C160" s="802">
        <f>SUM(C150:C159)</f>
        <v>0</v>
      </c>
      <c r="D160" s="802">
        <f>SUM(D150:D159)</f>
        <v>0</v>
      </c>
      <c r="E160" s="802">
        <f>IF(C160-D160&lt;0,0,C160-D160)</f>
        <v>0</v>
      </c>
      <c r="F160" s="802">
        <f>SUM(F150:F159)</f>
        <v>0</v>
      </c>
      <c r="G160" s="802">
        <f>SUM(G150:G159)</f>
        <v>0</v>
      </c>
      <c r="H160" s="803">
        <f t="shared" si="6"/>
        <v>0</v>
      </c>
    </row>
    <row r="161" spans="1:7" ht="15.6" hidden="1" outlineLevel="1" collapsed="1">
      <c r="B161" s="13"/>
      <c r="C161" s="13"/>
      <c r="D161" s="13" t="s">
        <v>263</v>
      </c>
      <c r="E161" s="234" t="str">
        <f>IF(D160&gt;C160,"Error: Total Funding Spent is higher than total awarded budget"," ")</f>
        <v xml:space="preserve"> </v>
      </c>
      <c r="F161" s="13"/>
      <c r="G161" s="234" t="str">
        <f>IF(F160&gt;D160,"Error: Funding for 0-6  is higher than Spent on GovGrants"," ")</f>
        <v xml:space="preserve"> </v>
      </c>
    </row>
    <row r="162" spans="1:7" ht="15.6" collapsed="1">
      <c r="A162" s="215" t="s">
        <v>200</v>
      </c>
      <c r="C162" s="13"/>
      <c r="D162" s="13"/>
      <c r="E162" s="13"/>
      <c r="F162" s="13"/>
    </row>
    <row r="163" spans="1:7" ht="15.6">
      <c r="B163" s="13"/>
      <c r="C163" s="13"/>
      <c r="D163" s="13"/>
      <c r="E163" s="13"/>
      <c r="F163" s="13"/>
    </row>
    <row r="164" spans="1:7" ht="15.6">
      <c r="B164" s="13"/>
      <c r="C164" s="13"/>
      <c r="D164" s="13"/>
      <c r="E164" s="13"/>
      <c r="F164" s="13"/>
    </row>
    <row r="165" spans="1:7" ht="15.6">
      <c r="B165" s="13"/>
      <c r="C165" s="13"/>
      <c r="D165" s="13"/>
      <c r="E165" s="13"/>
      <c r="F165" s="13"/>
    </row>
    <row r="166" spans="1:7" ht="15.6">
      <c r="B166" s="13"/>
      <c r="C166" s="13"/>
      <c r="D166" s="13"/>
      <c r="E166" s="13"/>
      <c r="F166" s="13"/>
    </row>
    <row r="202" spans="2:3">
      <c r="B202" s="211"/>
      <c r="C202" s="211"/>
    </row>
    <row r="203" spans="2:3">
      <c r="B203" s="211"/>
      <c r="C203" s="211"/>
    </row>
    <row r="204" spans="2:3">
      <c r="B204" s="211"/>
      <c r="C204" s="211"/>
    </row>
    <row r="205" spans="2:3">
      <c r="B205" s="211"/>
      <c r="C205" s="211"/>
    </row>
    <row r="206" spans="2:3">
      <c r="B206" s="211"/>
      <c r="C206" s="211"/>
    </row>
    <row r="207" spans="2:3" ht="15.6">
      <c r="B207" s="735" t="s">
        <v>94</v>
      </c>
      <c r="C207" s="211" t="s">
        <v>264</v>
      </c>
    </row>
    <row r="208" spans="2:3" ht="15.6">
      <c r="B208" s="735" t="s">
        <v>78</v>
      </c>
      <c r="C208" s="211"/>
    </row>
    <row r="209" spans="2:13" s="7" customFormat="1">
      <c r="B209" s="786"/>
      <c r="C209" s="786"/>
      <c r="E209" s="784"/>
      <c r="F209" s="784"/>
      <c r="G209" s="784"/>
      <c r="H209" s="784"/>
      <c r="I209" s="784"/>
      <c r="J209" s="784"/>
      <c r="K209" s="784"/>
      <c r="L209" s="785"/>
      <c r="M209" s="785"/>
    </row>
    <row r="210" spans="2:13">
      <c r="B210" s="211"/>
      <c r="C210" s="211"/>
      <c r="L210" s="85"/>
      <c r="M210" s="85"/>
    </row>
    <row r="211" spans="2:13">
      <c r="B211" s="211"/>
      <c r="C211" s="211"/>
      <c r="L211" s="85"/>
      <c r="M211" s="85"/>
    </row>
    <row r="212" spans="2:13">
      <c r="L212" s="85"/>
      <c r="M212" s="85"/>
    </row>
    <row r="213" spans="2:13">
      <c r="L213" s="85"/>
      <c r="M213" s="85"/>
    </row>
    <row r="217" spans="2:13">
      <c r="E217" s="784"/>
      <c r="F217" s="784"/>
      <c r="G217" s="784"/>
      <c r="H217" s="784"/>
      <c r="I217" s="784"/>
      <c r="J217" s="784"/>
      <c r="K217" s="785"/>
    </row>
    <row r="218" spans="2:13">
      <c r="K218" s="85"/>
    </row>
    <row r="219" spans="2:13">
      <c r="K219" s="85"/>
    </row>
    <row r="220" spans="2:13">
      <c r="K220" s="85"/>
    </row>
    <row r="221" spans="2:13">
      <c r="K221" s="85"/>
    </row>
  </sheetData>
  <sheetProtection algorithmName="SHA-512" hashValue="YDJIvuXZbysIAGJoH8pAjLp751XWQHT2TEPO5DPX959WqldaEUpUgsQdELjQcBy52pNkQHN5soL01+D4jY06lw==" saltValue="F1BEjbOAjzNmX9yzxuYyRA==" spinCount="100000" sheet="1" objects="1" scenarios="1" formatRows="0"/>
  <mergeCells count="28">
    <mergeCell ref="F147:H148"/>
    <mergeCell ref="G35:I35"/>
    <mergeCell ref="F127:H128"/>
    <mergeCell ref="B25:F26"/>
    <mergeCell ref="B1:F1"/>
    <mergeCell ref="B22:F23"/>
    <mergeCell ref="B124:F124"/>
    <mergeCell ref="B2:F2"/>
    <mergeCell ref="B44:F44"/>
    <mergeCell ref="B5:F5"/>
    <mergeCell ref="B19:F20"/>
    <mergeCell ref="B87:F87"/>
    <mergeCell ref="B7:F9"/>
    <mergeCell ref="B11:F13"/>
    <mergeCell ref="B15:F17"/>
    <mergeCell ref="B28:F28"/>
    <mergeCell ref="B91:F92"/>
    <mergeCell ref="B145:F145"/>
    <mergeCell ref="B134:F134"/>
    <mergeCell ref="B127:E128"/>
    <mergeCell ref="B34:F35"/>
    <mergeCell ref="B52:E52"/>
    <mergeCell ref="B70:E70"/>
    <mergeCell ref="B47:F50"/>
    <mergeCell ref="B94:E94"/>
    <mergeCell ref="B110:E110"/>
    <mergeCell ref="B46:F46"/>
    <mergeCell ref="B89:F89"/>
  </mergeCells>
  <phoneticPr fontId="5" type="noConversion"/>
  <conditionalFormatting sqref="E130 G150:G159">
    <cfRule type="cellIs" dxfId="47" priority="5" operator="lessThan">
      <formula>0</formula>
    </cfRule>
  </conditionalFormatting>
  <conditionalFormatting sqref="F37:F39">
    <cfRule type="cellIs" dxfId="46" priority="4" operator="lessThan">
      <formula>0</formula>
    </cfRule>
  </conditionalFormatting>
  <conditionalFormatting sqref="G130:H130">
    <cfRule type="cellIs" dxfId="45" priority="6" operator="lessThan">
      <formula>0</formula>
    </cfRule>
  </conditionalFormatting>
  <conditionalFormatting sqref="H37:H39">
    <cfRule type="cellIs" dxfId="44" priority="3" operator="lessThan">
      <formula>0</formula>
    </cfRule>
  </conditionalFormatting>
  <dataValidations xWindow="465" yWindow="379" count="4">
    <dataValidation type="list" allowBlank="1" showInputMessage="1" showErrorMessage="1" sqref="C54 C138" xr:uid="{2C21C7BA-62B4-4C90-BB92-EAE8A8E8AA2D}">
      <formula1>$B$207:$B$208</formula1>
    </dataValidation>
    <dataValidation allowBlank="1" showInputMessage="1" showErrorMessage="1" prompt="Deferred Revenue can't be negative" sqref="D74" xr:uid="{138B6590-53C6-49C2-A883-D6D39B72181D}"/>
    <dataValidation type="decimal" allowBlank="1" showInputMessage="1" showErrorMessage="1" error="Enter amount as a positive number." prompt="Enter amount as a positive number." sqref="C58:C60 C65 C67 C74:C76" xr:uid="{C2AC996F-C9F9-434E-BE11-9A1CDF14AB7E}">
      <formula1>0</formula1>
      <formula2>1E+26</formula2>
    </dataValidation>
    <dataValidation type="decimal" allowBlank="1" showInputMessage="1" showErrorMessage="1" error="Enter amount as a positive number." prompt="Enter amount as a positive number." sqref="I113 C98:C100 C105 C107 C114:C116" xr:uid="{9121DC51-9809-40A6-8031-EAD4E4350721}">
      <formula1>0</formula1>
      <formula2>1E+23</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0D12A-1362-49B7-A8ED-51FF5C09FCB5}">
  <sheetPr>
    <tabColor theme="9" tint="0.59999389629810485"/>
    <pageSetUpPr fitToPage="1"/>
  </sheetPr>
  <dimension ref="A1:G39"/>
  <sheetViews>
    <sheetView showGridLines="0" zoomScaleNormal="100" workbookViewId="0">
      <selection activeCell="E14" sqref="E14"/>
    </sheetView>
  </sheetViews>
  <sheetFormatPr defaultRowHeight="14.45"/>
  <cols>
    <col min="1" max="1" width="4.7109375" style="409" customWidth="1"/>
    <col min="2" max="2" width="6.42578125" style="407" customWidth="1"/>
    <col min="3" max="3" width="60" customWidth="1"/>
    <col min="4" max="4" width="70.7109375" customWidth="1"/>
    <col min="5" max="5" width="33.28515625" customWidth="1"/>
    <col min="6" max="6" width="56.85546875" style="723" customWidth="1"/>
    <col min="7" max="7" width="48.140625" customWidth="1"/>
  </cols>
  <sheetData>
    <row r="1" spans="1:6" ht="24" thickTop="1">
      <c r="C1" s="1115" t="s">
        <v>265</v>
      </c>
      <c r="D1" s="1116"/>
      <c r="E1" s="1117"/>
    </row>
    <row r="2" spans="1:6" ht="24" thickBot="1">
      <c r="C2" s="1118" t="s">
        <v>266</v>
      </c>
      <c r="D2" s="1119"/>
      <c r="E2" s="1120"/>
    </row>
    <row r="3" spans="1:6" ht="15.6" thickTop="1" thickBot="1"/>
    <row r="4" spans="1:6" ht="47.25" customHeight="1" thickTop="1" thickBot="1">
      <c r="C4" s="1121" t="s">
        <v>267</v>
      </c>
      <c r="D4" s="1122"/>
      <c r="E4" s="1123"/>
    </row>
    <row r="5" spans="1:6" ht="18.95" thickTop="1">
      <c r="C5" s="746"/>
      <c r="D5" s="746"/>
      <c r="E5" s="746"/>
    </row>
    <row r="6" spans="1:6" ht="23.25" hidden="1" customHeight="1" thickBot="1">
      <c r="C6" s="1114" t="s">
        <v>268</v>
      </c>
      <c r="D6" s="1114"/>
      <c r="E6" s="1114"/>
    </row>
    <row r="7" spans="1:6" ht="17.45" hidden="1" thickBot="1">
      <c r="C7" s="738" t="s">
        <v>269</v>
      </c>
      <c r="D7" s="738" t="s">
        <v>270</v>
      </c>
      <c r="E7" s="738" t="s">
        <v>271</v>
      </c>
    </row>
    <row r="8" spans="1:6" ht="51.75" hidden="1" customHeight="1" thickBot="1">
      <c r="B8" s="813" t="s">
        <v>272</v>
      </c>
      <c r="C8" s="815" t="s">
        <v>273</v>
      </c>
      <c r="D8" s="741" t="s">
        <v>274</v>
      </c>
      <c r="E8" s="742"/>
    </row>
    <row r="9" spans="1:6" ht="18.600000000000001" hidden="1">
      <c r="C9" s="746"/>
      <c r="D9" s="746"/>
      <c r="E9" s="746"/>
    </row>
    <row r="10" spans="1:6" ht="15" thickBot="1"/>
    <row r="11" spans="1:6" ht="24.6" thickTop="1" thickBot="1">
      <c r="C11" s="1111" t="s">
        <v>275</v>
      </c>
      <c r="D11" s="1112"/>
      <c r="E11" s="1113"/>
    </row>
    <row r="12" spans="1:6" ht="17.45" thickBot="1">
      <c r="C12" s="737" t="s">
        <v>276</v>
      </c>
      <c r="D12" s="738" t="s">
        <v>277</v>
      </c>
      <c r="E12" s="739" t="s">
        <v>271</v>
      </c>
    </row>
    <row r="13" spans="1:6" ht="31.5" hidden="1" thickBot="1">
      <c r="A13" s="781" t="s">
        <v>264</v>
      </c>
      <c r="B13" s="813" t="s">
        <v>278</v>
      </c>
      <c r="C13" s="815" t="s">
        <v>279</v>
      </c>
      <c r="D13" s="741" t="s">
        <v>280</v>
      </c>
      <c r="E13" s="980">
        <f>'A5. Operations'!E47+'A5. Operations'!E105</f>
        <v>0</v>
      </c>
      <c r="F13" s="204"/>
    </row>
    <row r="14" spans="1:6" ht="31.5" thickBot="1">
      <c r="B14" s="813" t="s">
        <v>281</v>
      </c>
      <c r="C14" s="740" t="s">
        <v>282</v>
      </c>
      <c r="D14" s="741" t="s">
        <v>283</v>
      </c>
      <c r="E14" s="742"/>
    </row>
    <row r="15" spans="1:6" ht="36" customHeight="1" thickBot="1">
      <c r="B15" s="814" t="s">
        <v>284</v>
      </c>
      <c r="C15" s="743" t="s">
        <v>285</v>
      </c>
      <c r="D15" s="744" t="s">
        <v>286</v>
      </c>
      <c r="E15" s="745"/>
    </row>
    <row r="16" spans="1:6" ht="15" thickBot="1"/>
    <row r="17" spans="1:7" ht="24.6" thickTop="1" thickBot="1">
      <c r="C17" s="1111" t="s">
        <v>287</v>
      </c>
      <c r="D17" s="1112"/>
      <c r="E17" s="1113"/>
    </row>
    <row r="18" spans="1:7" ht="17.45" thickBot="1">
      <c r="C18" s="737" t="s">
        <v>276</v>
      </c>
      <c r="D18" s="738" t="s">
        <v>277</v>
      </c>
      <c r="E18" s="739" t="s">
        <v>271</v>
      </c>
    </row>
    <row r="19" spans="1:7" ht="35.450000000000003" customHeight="1" thickBot="1">
      <c r="B19" s="813" t="s">
        <v>288</v>
      </c>
      <c r="C19" s="810" t="s">
        <v>289</v>
      </c>
      <c r="D19" s="744" t="s">
        <v>290</v>
      </c>
      <c r="E19" s="811"/>
      <c r="F19" s="204"/>
    </row>
    <row r="20" spans="1:7" ht="37.5" hidden="1" customHeight="1" thickBot="1">
      <c r="A20" s="781" t="s">
        <v>264</v>
      </c>
      <c r="B20" s="814" t="s">
        <v>291</v>
      </c>
      <c r="C20" s="810" t="s">
        <v>292</v>
      </c>
      <c r="D20" s="812" t="s">
        <v>293</v>
      </c>
      <c r="E20" s="978">
        <f>'A5. Operations'!E49</f>
        <v>0</v>
      </c>
      <c r="F20" s="204"/>
      <c r="G20" s="7"/>
    </row>
    <row r="21" spans="1:7" ht="34.5" customHeight="1" thickBot="1">
      <c r="B21" s="813" t="s">
        <v>294</v>
      </c>
      <c r="C21" s="743" t="s">
        <v>295</v>
      </c>
      <c r="D21" s="744" t="s">
        <v>296</v>
      </c>
      <c r="E21" s="745"/>
    </row>
    <row r="22" spans="1:7" ht="33.950000000000003" customHeight="1" thickBot="1">
      <c r="B22" s="814" t="s">
        <v>297</v>
      </c>
      <c r="C22" s="743" t="s">
        <v>298</v>
      </c>
      <c r="D22" s="744" t="s">
        <v>299</v>
      </c>
      <c r="E22" s="745"/>
    </row>
    <row r="24" spans="1:7" ht="15" thickBot="1"/>
    <row r="25" spans="1:7" ht="24.6" thickTop="1" thickBot="1">
      <c r="C25" s="1111" t="s">
        <v>300</v>
      </c>
      <c r="D25" s="1112"/>
      <c r="E25" s="1113"/>
    </row>
    <row r="26" spans="1:7" ht="17.45" thickBot="1">
      <c r="C26" s="737" t="s">
        <v>276</v>
      </c>
      <c r="D26" s="738" t="s">
        <v>277</v>
      </c>
      <c r="E26" s="739" t="s">
        <v>271</v>
      </c>
    </row>
    <row r="27" spans="1:7" ht="39" hidden="1" customHeight="1" thickBot="1">
      <c r="A27" s="781" t="s">
        <v>264</v>
      </c>
      <c r="B27" s="813" t="s">
        <v>301</v>
      </c>
      <c r="C27" s="810" t="s">
        <v>302</v>
      </c>
      <c r="D27" s="744" t="s">
        <v>303</v>
      </c>
      <c r="E27" s="978">
        <f>'A5. Operations'!E106</f>
        <v>0</v>
      </c>
    </row>
    <row r="28" spans="1:7" ht="33.950000000000003" hidden="1" customHeight="1" thickBot="1">
      <c r="A28" s="781" t="s">
        <v>264</v>
      </c>
      <c r="B28" s="813" t="s">
        <v>304</v>
      </c>
      <c r="C28" s="743" t="s">
        <v>305</v>
      </c>
      <c r="D28" s="744" t="s">
        <v>306</v>
      </c>
      <c r="E28" s="979">
        <f>'A5. Operations'!E48</f>
        <v>0</v>
      </c>
      <c r="F28" s="204"/>
    </row>
    <row r="29" spans="1:7" ht="39" customHeight="1" thickBot="1">
      <c r="B29" s="813" t="s">
        <v>307</v>
      </c>
      <c r="C29" s="743" t="s">
        <v>308</v>
      </c>
      <c r="D29" s="744" t="s">
        <v>309</v>
      </c>
      <c r="E29" s="745"/>
    </row>
    <row r="30" spans="1:7" ht="47.1" thickBot="1">
      <c r="B30" s="813" t="s">
        <v>310</v>
      </c>
      <c r="C30" s="743" t="s">
        <v>311</v>
      </c>
      <c r="D30" s="744" t="s">
        <v>312</v>
      </c>
      <c r="E30" s="745"/>
    </row>
    <row r="32" spans="1:7" ht="15" thickBot="1"/>
    <row r="33" spans="2:6" ht="24.6" thickTop="1" thickBot="1">
      <c r="C33" s="1111" t="s">
        <v>313</v>
      </c>
      <c r="D33" s="1112"/>
      <c r="E33" s="1113"/>
    </row>
    <row r="34" spans="2:6" ht="17.45" thickBot="1">
      <c r="C34" s="737" t="s">
        <v>276</v>
      </c>
      <c r="D34" s="738" t="s">
        <v>277</v>
      </c>
      <c r="E34" s="739" t="s">
        <v>271</v>
      </c>
    </row>
    <row r="35" spans="2:6" ht="39" customHeight="1" thickBot="1">
      <c r="B35" s="813" t="s">
        <v>314</v>
      </c>
      <c r="C35" s="810" t="s">
        <v>315</v>
      </c>
      <c r="D35" s="744" t="s">
        <v>316</v>
      </c>
      <c r="E35" s="981"/>
    </row>
    <row r="36" spans="2:6" ht="47.1" thickBot="1">
      <c r="B36" s="813" t="s">
        <v>317</v>
      </c>
      <c r="C36" s="810" t="s">
        <v>318</v>
      </c>
      <c r="D36" s="744" t="s">
        <v>319</v>
      </c>
      <c r="E36" s="981"/>
    </row>
    <row r="37" spans="2:6" ht="47.1" thickBot="1">
      <c r="B37" s="813" t="s">
        <v>320</v>
      </c>
      <c r="C37" s="810" t="s">
        <v>318</v>
      </c>
      <c r="D37" s="744" t="s">
        <v>321</v>
      </c>
      <c r="E37" s="981"/>
      <c r="F37" s="204"/>
    </row>
    <row r="38" spans="2:6" ht="39" customHeight="1" thickBot="1">
      <c r="B38" s="813" t="s">
        <v>322</v>
      </c>
      <c r="C38" s="743" t="s">
        <v>323</v>
      </c>
      <c r="D38" s="744" t="s">
        <v>324</v>
      </c>
      <c r="E38" s="981"/>
    </row>
    <row r="39" spans="2:6" ht="31.5" thickBot="1">
      <c r="B39" s="813" t="s">
        <v>325</v>
      </c>
      <c r="C39" s="743" t="s">
        <v>326</v>
      </c>
      <c r="D39" s="744" t="s">
        <v>327</v>
      </c>
      <c r="E39" s="981"/>
    </row>
  </sheetData>
  <sheetProtection algorithmName="SHA-512" hashValue="WXc+k2WQrC6bQsCm9j7BR73RROTyb4InzKlydY4OqzmYSQuLiB/rC0+zHSRWLT21MTqR7XIKMyZUvY7GEByWkQ==" saltValue="CD1f/qjIdkdjvu61N81UhQ==" spinCount="100000" sheet="1" objects="1" scenarios="1"/>
  <protectedRanges>
    <protectedRange sqref="E8" name="allow"/>
  </protectedRanges>
  <mergeCells count="8">
    <mergeCell ref="C33:E33"/>
    <mergeCell ref="C25:E25"/>
    <mergeCell ref="C6:E6"/>
    <mergeCell ref="C1:E1"/>
    <mergeCell ref="C2:E2"/>
    <mergeCell ref="C4:E4"/>
    <mergeCell ref="C11:E11"/>
    <mergeCell ref="C17:E17"/>
  </mergeCells>
  <phoneticPr fontId="5" type="noConversion"/>
  <conditionalFormatting sqref="B8">
    <cfRule type="expression" dxfId="43" priority="11">
      <formula>AND(ISNUMBER(#REF!), E8="")</formula>
    </cfRule>
  </conditionalFormatting>
  <conditionalFormatting sqref="B13:B15">
    <cfRule type="expression" dxfId="42" priority="3">
      <formula>AND(ISNUMBER(#REF!), E13="")</formula>
    </cfRule>
  </conditionalFormatting>
  <conditionalFormatting sqref="B19:B22">
    <cfRule type="expression" dxfId="41" priority="8">
      <formula>AND(ISNUMBER(#REF!), E19="")</formula>
    </cfRule>
  </conditionalFormatting>
  <conditionalFormatting sqref="B27:B30">
    <cfRule type="expression" dxfId="40" priority="4">
      <formula>AND(ISNUMBER(#REF!), E27="")</formula>
    </cfRule>
  </conditionalFormatting>
  <conditionalFormatting sqref="B35:B39">
    <cfRule type="expression" dxfId="39" priority="1">
      <formula>AND(ISNUMBER(#REF!), E35="")</formula>
    </cfRule>
  </conditionalFormatting>
  <conditionalFormatting sqref="E8 E13:E15 E19:E22">
    <cfRule type="cellIs" dxfId="38" priority="13" operator="equal">
      <formula>""</formula>
    </cfRule>
  </conditionalFormatting>
  <conditionalFormatting sqref="E27:E30">
    <cfRule type="cellIs" dxfId="37" priority="14" operator="equal">
      <formula>""</formula>
    </cfRule>
  </conditionalFormatting>
  <conditionalFormatting sqref="E35:E39">
    <cfRule type="cellIs" dxfId="36" priority="2" operator="equal">
      <formula>""</formula>
    </cfRule>
  </conditionalFormatting>
  <pageMargins left="0.7" right="0.7" top="0.75" bottom="0.75" header="0.3" footer="0.3"/>
  <pageSetup scale="5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3DFD0-1BBF-4F9A-BE90-100F4E7E5551}">
  <sheetPr>
    <tabColor theme="9" tint="0.59999389629810485"/>
  </sheetPr>
  <dimension ref="B1:Q109"/>
  <sheetViews>
    <sheetView showGridLines="0" zoomScaleNormal="100" workbookViewId="0">
      <pane ySplit="3" topLeftCell="A4" activePane="bottomLeft" state="frozen"/>
      <selection pane="bottomLeft" activeCell="D7" sqref="D7"/>
    </sheetView>
  </sheetViews>
  <sheetFormatPr defaultColWidth="8.7109375" defaultRowHeight="14.45"/>
  <cols>
    <col min="1" max="1" width="4.28515625" style="29" customWidth="1"/>
    <col min="2" max="2" width="72.7109375" style="28" customWidth="1"/>
    <col min="3" max="3" width="9.85546875" style="29" customWidth="1"/>
    <col min="4" max="4" width="20.28515625" style="29" customWidth="1"/>
    <col min="5" max="5" width="13.85546875" style="28" customWidth="1"/>
    <col min="6" max="6" width="3.85546875" style="28" customWidth="1"/>
    <col min="7" max="7" width="14.7109375" style="28" customWidth="1"/>
    <col min="8" max="8" width="18.140625" style="28" customWidth="1"/>
    <col min="9" max="9" width="14" style="28" customWidth="1"/>
    <col min="10" max="10" width="17.5703125" style="28" customWidth="1"/>
    <col min="11" max="17" width="9.140625" style="28" customWidth="1"/>
    <col min="18" max="16384" width="8.7109375" style="29"/>
  </cols>
  <sheetData>
    <row r="1" spans="2:17" ht="20.45" customHeight="1">
      <c r="B1" s="1062" t="str">
        <f>IF('A1. Identification'!D7=0, "Financial Annual Information Return (FAIR) ",'A1. Identification'!D7)</f>
        <v xml:space="preserve">Financial Annual Information Return (FAIR) </v>
      </c>
      <c r="C1" s="1062"/>
      <c r="D1" s="1062"/>
      <c r="E1" s="1062"/>
      <c r="F1" s="1062"/>
      <c r="G1" s="1062"/>
      <c r="H1" s="1062"/>
      <c r="I1" s="106" t="s">
        <v>1</v>
      </c>
      <c r="J1" s="107" t="str">
        <f>IF('A1. Identification'!$D$13=0, " ",'A1. Identification'!$D$13)</f>
        <v xml:space="preserve"> </v>
      </c>
    </row>
    <row r="2" spans="2:17" s="28" customFormat="1" ht="23.25" customHeight="1">
      <c r="B2" s="1062" t="s">
        <v>328</v>
      </c>
      <c r="C2" s="1062"/>
      <c r="D2" s="1062"/>
      <c r="E2" s="1062"/>
      <c r="F2" s="1062"/>
      <c r="G2" s="1062"/>
      <c r="H2" s="1062"/>
      <c r="I2" s="106" t="s">
        <v>3</v>
      </c>
      <c r="J2" s="107" t="str">
        <f>'A5. Operations'!L2</f>
        <v>Please enter Ministry licence number on tab A6 row 7</v>
      </c>
    </row>
    <row r="3" spans="2:17" s="28" customFormat="1" ht="21.75" customHeight="1">
      <c r="B3" s="1062" t="str">
        <f>"For The Year Ended " &amp;TEXT('A1. Identification'!D8,"mmmm d, yyyy")</f>
        <v>For The Year Ended January 0, 1900</v>
      </c>
      <c r="C3" s="1062"/>
      <c r="D3" s="1062"/>
      <c r="E3" s="1062"/>
      <c r="F3" s="1062"/>
      <c r="G3" s="1062"/>
      <c r="H3" s="1062"/>
    </row>
    <row r="4" spans="2:17" s="28" customFormat="1" ht="15" thickBot="1"/>
    <row r="5" spans="2:17" s="28" customFormat="1" ht="15.6">
      <c r="B5" s="54" t="s">
        <v>329</v>
      </c>
      <c r="C5" s="60"/>
      <c r="D5" s="60"/>
      <c r="E5" s="60"/>
      <c r="F5" s="60"/>
      <c r="G5" s="61"/>
    </row>
    <row r="6" spans="2:17" s="28" customFormat="1" ht="6.75" customHeight="1">
      <c r="B6" s="30"/>
      <c r="G6" s="31"/>
    </row>
    <row r="7" spans="2:17" s="28" customFormat="1" ht="15.6">
      <c r="B7" s="25" t="s">
        <v>330</v>
      </c>
      <c r="C7" s="20">
        <v>110</v>
      </c>
      <c r="D7" s="22"/>
      <c r="E7" s="8"/>
      <c r="F7" s="8"/>
      <c r="G7" s="10"/>
      <c r="H7" s="8"/>
      <c r="I7" s="8"/>
      <c r="J7" s="8"/>
    </row>
    <row r="8" spans="2:17" s="28" customFormat="1" ht="14.45" customHeight="1">
      <c r="B8" s="25" t="s">
        <v>331</v>
      </c>
      <c r="C8" s="20" t="s">
        <v>332</v>
      </c>
      <c r="D8" s="22"/>
      <c r="E8" s="8"/>
      <c r="F8" s="8"/>
      <c r="G8" s="10"/>
      <c r="H8" s="8"/>
      <c r="I8" s="8"/>
      <c r="J8" s="8"/>
    </row>
    <row r="9" spans="2:17" ht="14.45" customHeight="1">
      <c r="B9" s="27" t="s">
        <v>333</v>
      </c>
      <c r="C9" s="20">
        <v>111</v>
      </c>
      <c r="D9" s="22"/>
      <c r="E9" s="8"/>
      <c r="F9" s="8"/>
      <c r="G9" s="10"/>
      <c r="H9" s="8"/>
      <c r="I9" s="8"/>
      <c r="J9" s="8"/>
    </row>
    <row r="10" spans="2:17" ht="15.6">
      <c r="B10" s="27" t="s">
        <v>334</v>
      </c>
      <c r="C10" s="20" t="s">
        <v>335</v>
      </c>
      <c r="D10" s="22"/>
      <c r="E10" s="8"/>
      <c r="F10" s="8"/>
      <c r="G10" s="10"/>
      <c r="H10" s="8"/>
      <c r="I10" s="8"/>
      <c r="J10" s="8"/>
    </row>
    <row r="11" spans="2:17" ht="15.6">
      <c r="B11" s="27" t="s">
        <v>336</v>
      </c>
      <c r="C11" s="20">
        <v>112</v>
      </c>
      <c r="D11" s="22"/>
      <c r="E11" s="8"/>
      <c r="F11" s="8"/>
      <c r="G11" s="10"/>
      <c r="H11" s="8"/>
      <c r="I11" s="8"/>
      <c r="J11" s="8"/>
    </row>
    <row r="12" spans="2:17" s="4" customFormat="1" ht="15.6">
      <c r="B12" s="32" t="s">
        <v>337</v>
      </c>
      <c r="C12" s="20">
        <v>113</v>
      </c>
      <c r="D12" s="33">
        <f>SUM(D7:D11)</f>
        <v>0</v>
      </c>
      <c r="E12" s="34"/>
      <c r="F12" s="34"/>
      <c r="G12" s="10"/>
      <c r="H12" s="34"/>
      <c r="I12" s="34"/>
      <c r="J12" s="34"/>
      <c r="K12" s="3"/>
      <c r="L12" s="3"/>
      <c r="M12" s="3"/>
      <c r="N12" s="3"/>
      <c r="O12" s="3"/>
      <c r="P12" s="3"/>
      <c r="Q12" s="3"/>
    </row>
    <row r="13" spans="2:17" ht="15.6">
      <c r="B13" s="55"/>
      <c r="C13" s="285"/>
      <c r="D13" s="286"/>
      <c r="E13" s="285"/>
      <c r="F13" s="8"/>
      <c r="G13" s="10"/>
      <c r="H13" s="8"/>
      <c r="I13" s="8"/>
      <c r="J13" s="8"/>
    </row>
    <row r="14" spans="2:17" ht="15.6">
      <c r="B14" s="27" t="s">
        <v>338</v>
      </c>
      <c r="C14" s="20">
        <v>114</v>
      </c>
      <c r="D14" s="22"/>
      <c r="E14" s="13"/>
      <c r="F14" s="13"/>
      <c r="G14" s="76"/>
      <c r="H14" s="13"/>
      <c r="I14" s="13"/>
      <c r="J14" s="13"/>
    </row>
    <row r="15" spans="2:17" ht="15.6">
      <c r="B15" s="27" t="s">
        <v>336</v>
      </c>
      <c r="C15" s="35">
        <v>115</v>
      </c>
      <c r="D15" s="36"/>
      <c r="E15" s="8"/>
      <c r="F15" s="8"/>
      <c r="G15" s="10"/>
      <c r="H15" s="8"/>
      <c r="I15" s="8"/>
      <c r="J15" s="8"/>
    </row>
    <row r="16" spans="2:17" s="4" customFormat="1" ht="15.6">
      <c r="B16" s="37" t="s">
        <v>339</v>
      </c>
      <c r="C16" s="20">
        <v>116</v>
      </c>
      <c r="D16" s="38">
        <f>SUM(D14:D15)</f>
        <v>0</v>
      </c>
      <c r="E16" s="34"/>
      <c r="F16" s="34"/>
      <c r="G16" s="10"/>
      <c r="H16" s="34"/>
      <c r="I16" s="34"/>
      <c r="J16" s="34"/>
      <c r="K16" s="3"/>
      <c r="L16" s="3"/>
      <c r="M16" s="3"/>
      <c r="N16" s="3"/>
      <c r="O16" s="3"/>
      <c r="P16" s="3"/>
      <c r="Q16" s="3"/>
    </row>
    <row r="17" spans="2:17" s="4" customFormat="1" ht="15.6">
      <c r="B17" s="37"/>
      <c r="C17" s="286"/>
      <c r="D17" s="285"/>
      <c r="E17" s="34"/>
      <c r="F17" s="34"/>
      <c r="G17" s="10"/>
      <c r="H17" s="34"/>
      <c r="I17" s="34"/>
      <c r="J17" s="34"/>
      <c r="K17" s="3"/>
      <c r="L17" s="3"/>
      <c r="M17" s="3"/>
      <c r="N17" s="3"/>
      <c r="O17" s="3"/>
      <c r="P17" s="3"/>
      <c r="Q17" s="3"/>
    </row>
    <row r="18" spans="2:17" ht="15.6">
      <c r="B18" s="27" t="s">
        <v>340</v>
      </c>
      <c r="C18" s="20">
        <v>117</v>
      </c>
      <c r="D18" s="22"/>
      <c r="E18" s="8"/>
      <c r="F18" s="8"/>
      <c r="G18" s="10"/>
      <c r="H18" s="8"/>
      <c r="I18" s="8"/>
      <c r="J18" s="8"/>
    </row>
    <row r="19" spans="2:17" ht="15.6">
      <c r="B19" s="37"/>
      <c r="C19" s="286"/>
      <c r="D19" s="285"/>
      <c r="E19" s="8"/>
      <c r="F19" s="8"/>
      <c r="G19" s="10"/>
      <c r="H19" s="8"/>
      <c r="I19" s="8"/>
      <c r="J19" s="8"/>
    </row>
    <row r="20" spans="2:17" s="6" customFormat="1" ht="15.6">
      <c r="B20" s="56" t="s">
        <v>341</v>
      </c>
      <c r="C20" s="23">
        <v>118</v>
      </c>
      <c r="D20" s="39">
        <f>ROUND(+D16+D12+D18,0)</f>
        <v>0</v>
      </c>
      <c r="E20" s="11"/>
      <c r="F20" s="11"/>
      <c r="G20" s="14"/>
      <c r="H20" s="11"/>
      <c r="I20" s="11"/>
      <c r="J20" s="11"/>
      <c r="K20" s="5"/>
      <c r="L20" s="5"/>
      <c r="M20" s="5"/>
      <c r="N20" s="5"/>
      <c r="O20" s="5"/>
      <c r="P20" s="5"/>
      <c r="Q20" s="5"/>
    </row>
    <row r="21" spans="2:17" ht="15.6">
      <c r="B21" s="12"/>
      <c r="C21" s="8"/>
      <c r="D21" s="8"/>
      <c r="E21" s="8"/>
      <c r="F21" s="8"/>
      <c r="G21" s="10"/>
      <c r="H21" s="8"/>
      <c r="I21" s="8"/>
      <c r="J21" s="8"/>
    </row>
    <row r="22" spans="2:17" ht="2.4500000000000002" customHeight="1">
      <c r="B22" s="12"/>
      <c r="C22" s="8"/>
      <c r="D22" s="8"/>
      <c r="E22" s="8"/>
      <c r="F22" s="8"/>
      <c r="G22" s="10"/>
      <c r="H22" s="8"/>
      <c r="I22" s="8"/>
      <c r="J22" s="8"/>
    </row>
    <row r="23" spans="2:17" ht="15.6">
      <c r="B23" s="57" t="s">
        <v>342</v>
      </c>
      <c r="C23" s="287"/>
      <c r="D23" s="287"/>
      <c r="E23" s="287"/>
      <c r="F23" s="287"/>
      <c r="G23" s="62"/>
      <c r="H23" s="8"/>
      <c r="I23" s="8"/>
      <c r="J23" s="8"/>
    </row>
    <row r="24" spans="2:17" ht="15.6">
      <c r="B24" s="25" t="s">
        <v>343</v>
      </c>
      <c r="C24" s="40">
        <v>210</v>
      </c>
      <c r="D24" s="22"/>
      <c r="E24" s="8"/>
      <c r="F24" s="8"/>
      <c r="G24" s="10"/>
      <c r="H24" s="8"/>
      <c r="I24" s="8"/>
      <c r="J24" s="8"/>
    </row>
    <row r="25" spans="2:17" ht="15.6">
      <c r="B25" s="27" t="s">
        <v>344</v>
      </c>
      <c r="C25" s="40">
        <v>211</v>
      </c>
      <c r="D25" s="22"/>
      <c r="E25" s="8"/>
      <c r="F25" s="8"/>
      <c r="G25" s="10"/>
      <c r="H25" s="8"/>
      <c r="I25" s="8"/>
      <c r="J25" s="8"/>
    </row>
    <row r="26" spans="2:17" ht="15.6">
      <c r="B26" s="27" t="s">
        <v>345</v>
      </c>
      <c r="C26" s="40" t="s">
        <v>346</v>
      </c>
      <c r="D26" s="22"/>
      <c r="E26" s="13"/>
      <c r="F26" s="8"/>
      <c r="G26" s="10"/>
      <c r="H26" s="8"/>
      <c r="I26" s="8"/>
      <c r="J26" s="8"/>
    </row>
    <row r="27" spans="2:17" ht="15.6">
      <c r="B27" s="27" t="s">
        <v>347</v>
      </c>
      <c r="C27" s="20">
        <v>212</v>
      </c>
      <c r="D27" s="22"/>
      <c r="E27" s="13"/>
      <c r="F27" s="8"/>
      <c r="G27" s="10"/>
      <c r="H27" s="8"/>
      <c r="I27" s="8"/>
      <c r="J27" s="8"/>
    </row>
    <row r="28" spans="2:17" ht="15.6" hidden="1">
      <c r="B28" s="97" t="s">
        <v>348</v>
      </c>
      <c r="C28" s="96" t="s">
        <v>349</v>
      </c>
      <c r="D28" s="22"/>
      <c r="E28" s="13"/>
      <c r="F28" s="8"/>
      <c r="G28" s="10"/>
      <c r="H28" s="13"/>
      <c r="I28" s="8"/>
      <c r="J28" s="8"/>
    </row>
    <row r="29" spans="2:17" ht="15.6">
      <c r="B29" s="97" t="s">
        <v>350</v>
      </c>
      <c r="C29" s="20" t="s">
        <v>351</v>
      </c>
      <c r="D29" s="22"/>
      <c r="E29" s="13"/>
      <c r="F29" s="13"/>
      <c r="G29" s="76"/>
      <c r="H29" s="13"/>
      <c r="I29" s="13"/>
      <c r="J29" s="8"/>
    </row>
    <row r="30" spans="2:17" ht="15.6">
      <c r="B30" s="27" t="s">
        <v>352</v>
      </c>
      <c r="C30" s="20">
        <v>213</v>
      </c>
      <c r="D30" s="22"/>
      <c r="E30" s="8"/>
      <c r="F30" s="8"/>
      <c r="G30" s="76"/>
      <c r="H30" s="13"/>
      <c r="I30" s="8"/>
      <c r="J30" s="8"/>
    </row>
    <row r="31" spans="2:17" ht="15.75" customHeight="1">
      <c r="B31" s="27" t="s">
        <v>336</v>
      </c>
      <c r="C31" s="20">
        <v>214</v>
      </c>
      <c r="D31" s="22"/>
      <c r="F31" s="8"/>
      <c r="G31" s="1124"/>
      <c r="H31" s="13"/>
      <c r="I31" s="8"/>
      <c r="J31" s="8"/>
    </row>
    <row r="32" spans="2:17" ht="15.75" customHeight="1">
      <c r="B32" s="37" t="s">
        <v>353</v>
      </c>
      <c r="C32" s="20">
        <v>215</v>
      </c>
      <c r="D32" s="21">
        <f>SUM(D24:D31)</f>
        <v>0</v>
      </c>
      <c r="E32" s="216"/>
      <c r="F32" s="8"/>
      <c r="G32" s="1124"/>
      <c r="H32" s="8"/>
      <c r="I32" s="8"/>
      <c r="J32" s="8"/>
    </row>
    <row r="33" spans="2:17" ht="16.5" customHeight="1">
      <c r="B33" s="27"/>
      <c r="C33" s="286"/>
      <c r="D33" s="285"/>
      <c r="E33" s="216"/>
      <c r="F33" s="8"/>
      <c r="G33" s="1124"/>
      <c r="H33" s="8"/>
      <c r="I33" s="8"/>
      <c r="Q33" s="29"/>
    </row>
    <row r="34" spans="2:17" ht="15.6">
      <c r="B34" s="27" t="s">
        <v>354</v>
      </c>
      <c r="C34" s="20">
        <v>216</v>
      </c>
      <c r="D34" s="22"/>
      <c r="E34" s="216"/>
      <c r="F34" s="8"/>
      <c r="G34" s="622"/>
      <c r="H34" s="82" t="s">
        <v>355</v>
      </c>
      <c r="I34" s="13"/>
      <c r="J34" s="29"/>
      <c r="K34" s="29"/>
      <c r="L34" s="29"/>
      <c r="M34" s="29"/>
      <c r="Q34" s="29"/>
    </row>
    <row r="35" spans="2:17" ht="15.6">
      <c r="B35" s="27" t="s">
        <v>356</v>
      </c>
      <c r="C35" s="20">
        <v>217</v>
      </c>
      <c r="D35" s="22"/>
      <c r="E35" s="216"/>
      <c r="F35" s="8"/>
      <c r="G35" s="10"/>
      <c r="H35" s="82"/>
      <c r="I35" s="13"/>
      <c r="J35" s="29"/>
      <c r="K35" s="29"/>
      <c r="L35" s="29"/>
      <c r="Q35" s="29"/>
    </row>
    <row r="36" spans="2:17" s="4" customFormat="1" ht="15.6">
      <c r="B36" s="37" t="s">
        <v>357</v>
      </c>
      <c r="C36" s="41">
        <v>218</v>
      </c>
      <c r="D36" s="21">
        <f>+D34+D35</f>
        <v>0</v>
      </c>
      <c r="E36" s="216"/>
      <c r="F36" s="34"/>
      <c r="G36" s="1124"/>
      <c r="H36" s="34"/>
      <c r="I36" s="34"/>
      <c r="J36" s="3"/>
      <c r="K36" s="3"/>
      <c r="L36" s="3"/>
      <c r="M36" s="3"/>
      <c r="N36" s="3"/>
      <c r="O36" s="3"/>
      <c r="P36" s="3"/>
    </row>
    <row r="37" spans="2:17" s="4" customFormat="1" ht="15.6">
      <c r="B37" s="37"/>
      <c r="C37" s="286"/>
      <c r="D37" s="285"/>
      <c r="E37" s="216"/>
      <c r="F37" s="34"/>
      <c r="G37" s="1124"/>
      <c r="H37" s="34"/>
      <c r="I37" s="34"/>
      <c r="J37" s="3"/>
      <c r="K37" s="3"/>
      <c r="L37" s="3"/>
      <c r="M37" s="3"/>
      <c r="N37" s="3"/>
      <c r="O37" s="3"/>
      <c r="P37" s="3"/>
    </row>
    <row r="38" spans="2:17" ht="15.6">
      <c r="B38" s="27" t="s">
        <v>358</v>
      </c>
      <c r="C38" s="20">
        <v>219</v>
      </c>
      <c r="D38" s="22"/>
      <c r="E38" s="8"/>
      <c r="F38" s="8"/>
      <c r="G38" s="1124"/>
      <c r="H38" s="8"/>
      <c r="I38" s="8"/>
      <c r="J38" s="8"/>
    </row>
    <row r="39" spans="2:17" ht="15.6">
      <c r="B39" s="18"/>
      <c r="C39" s="286"/>
      <c r="D39" s="285"/>
      <c r="E39" s="8"/>
      <c r="F39" s="8"/>
      <c r="G39" s="10"/>
      <c r="H39" s="8"/>
      <c r="I39" s="8"/>
      <c r="J39" s="8"/>
    </row>
    <row r="40" spans="2:17" s="6" customFormat="1" ht="15.6">
      <c r="B40" s="42" t="s">
        <v>359</v>
      </c>
      <c r="C40" s="43">
        <v>220</v>
      </c>
      <c r="D40" s="39">
        <f>ROUND(+D36+D32+D38,0)</f>
        <v>0</v>
      </c>
      <c r="E40" s="288"/>
      <c r="F40" s="11"/>
      <c r="G40" s="14"/>
      <c r="H40" s="11"/>
      <c r="I40" s="11"/>
      <c r="J40" s="11"/>
      <c r="K40" s="5"/>
      <c r="L40" s="5"/>
      <c r="M40" s="5"/>
      <c r="N40" s="5"/>
      <c r="O40" s="5"/>
      <c r="P40" s="5"/>
      <c r="Q40" s="5"/>
    </row>
    <row r="41" spans="2:17" ht="15.6">
      <c r="B41" s="12"/>
      <c r="C41" s="8"/>
      <c r="D41" s="8"/>
      <c r="E41" s="8"/>
      <c r="F41" s="8"/>
      <c r="G41" s="10"/>
      <c r="H41" s="8"/>
      <c r="I41" s="8"/>
      <c r="J41" s="8"/>
    </row>
    <row r="42" spans="2:17" ht="4.1500000000000004" customHeight="1">
      <c r="B42" s="12"/>
      <c r="C42" s="8"/>
      <c r="D42" s="8"/>
      <c r="E42" s="8"/>
      <c r="F42" s="8"/>
      <c r="G42" s="10"/>
      <c r="H42" s="8"/>
      <c r="I42" s="8"/>
      <c r="J42" s="8"/>
    </row>
    <row r="43" spans="2:17" ht="15.6">
      <c r="B43" s="24" t="s">
        <v>360</v>
      </c>
      <c r="C43" s="8"/>
      <c r="D43" s="8"/>
      <c r="E43" s="8"/>
      <c r="F43" s="8"/>
      <c r="G43" s="10"/>
      <c r="H43" s="8"/>
      <c r="I43" s="13"/>
      <c r="J43" s="13"/>
      <c r="K43" s="29"/>
    </row>
    <row r="44" spans="2:17" ht="15.6">
      <c r="B44" s="27" t="s">
        <v>361</v>
      </c>
      <c r="C44" s="41">
        <v>500</v>
      </c>
      <c r="D44" s="44">
        <f>D58</f>
        <v>0</v>
      </c>
      <c r="E44" s="8"/>
      <c r="F44" s="8"/>
      <c r="G44" s="10"/>
      <c r="H44" s="8"/>
      <c r="I44" s="8"/>
      <c r="J44" s="8"/>
    </row>
    <row r="45" spans="2:17" ht="15.6">
      <c r="B45" s="27" t="s">
        <v>362</v>
      </c>
      <c r="C45" s="41">
        <v>502</v>
      </c>
      <c r="D45" s="45"/>
      <c r="E45" s="8"/>
      <c r="F45" s="8"/>
      <c r="G45" s="10"/>
      <c r="H45" s="8"/>
      <c r="I45" s="8"/>
      <c r="J45" s="8"/>
    </row>
    <row r="46" spans="2:17" ht="15.6">
      <c r="B46" s="27" t="s">
        <v>336</v>
      </c>
      <c r="C46" s="41">
        <v>513</v>
      </c>
      <c r="D46" s="45"/>
      <c r="E46" s="8"/>
      <c r="F46" s="8"/>
      <c r="G46" s="10"/>
      <c r="H46" s="8"/>
      <c r="I46" s="8"/>
      <c r="J46" s="8"/>
    </row>
    <row r="47" spans="2:17" s="6" customFormat="1" ht="15.6">
      <c r="B47" s="42" t="s">
        <v>363</v>
      </c>
      <c r="C47" s="43">
        <v>520</v>
      </c>
      <c r="D47" s="46">
        <f>ROUND(+D44+D46+D45,0)</f>
        <v>0</v>
      </c>
      <c r="E47" s="11"/>
      <c r="F47" s="11"/>
      <c r="G47" s="14"/>
      <c r="H47" s="11"/>
      <c r="I47" s="11"/>
      <c r="J47" s="11"/>
      <c r="K47" s="5"/>
      <c r="L47" s="5"/>
      <c r="M47" s="5"/>
      <c r="N47" s="5"/>
      <c r="O47" s="5"/>
      <c r="P47" s="5"/>
      <c r="Q47" s="5"/>
    </row>
    <row r="48" spans="2:17" s="6" customFormat="1" ht="15.6">
      <c r="B48" s="42"/>
      <c r="C48" s="11"/>
      <c r="D48" s="289"/>
      <c r="E48" s="11"/>
      <c r="F48" s="11"/>
      <c r="G48" s="14"/>
      <c r="H48" s="11"/>
      <c r="I48" s="11"/>
      <c r="J48" s="11"/>
      <c r="K48" s="5"/>
      <c r="L48" s="5"/>
      <c r="M48" s="5"/>
      <c r="N48" s="5"/>
      <c r="O48" s="5"/>
      <c r="P48" s="5"/>
      <c r="Q48" s="5"/>
    </row>
    <row r="49" spans="2:10" ht="15.6">
      <c r="B49" s="58" t="s">
        <v>364</v>
      </c>
      <c r="C49" s="23">
        <v>550</v>
      </c>
      <c r="D49" s="39">
        <f>ROUND(+D47+D40,0)</f>
        <v>0</v>
      </c>
      <c r="E49" s="8"/>
      <c r="F49" s="8"/>
      <c r="G49" s="10"/>
      <c r="H49" s="8"/>
      <c r="I49" s="8"/>
      <c r="J49" s="8"/>
    </row>
    <row r="50" spans="2:10" ht="15.6">
      <c r="B50" s="42"/>
      <c r="C50" s="290"/>
      <c r="D50" s="59"/>
      <c r="E50" s="8"/>
      <c r="F50" s="8"/>
      <c r="G50" s="10"/>
      <c r="H50" s="8"/>
      <c r="I50" s="8"/>
      <c r="J50" s="8"/>
    </row>
    <row r="51" spans="2:10" ht="18.600000000000001">
      <c r="B51" s="1125" t="str">
        <f>IF(D20=D40+D47," ","NOT BALANCED DIFFERENCE OF $"&amp;(D20-D40-D47))</f>
        <v xml:space="preserve"> </v>
      </c>
      <c r="C51" s="1126"/>
      <c r="D51" s="1126"/>
      <c r="E51" s="13"/>
      <c r="F51" s="8"/>
      <c r="G51" s="10"/>
      <c r="H51" s="8"/>
      <c r="I51" s="8"/>
      <c r="J51" s="8"/>
    </row>
    <row r="52" spans="2:10" ht="15.6">
      <c r="B52" s="42"/>
      <c r="C52" s="290"/>
      <c r="D52" s="59"/>
      <c r="E52" s="8"/>
      <c r="F52" s="8"/>
      <c r="G52" s="10"/>
      <c r="H52" s="8"/>
      <c r="I52" s="8"/>
      <c r="J52" s="8"/>
    </row>
    <row r="53" spans="2:10" ht="15.6">
      <c r="B53" s="57" t="s">
        <v>365</v>
      </c>
      <c r="C53" s="287"/>
      <c r="D53" s="287"/>
      <c r="E53" s="287"/>
      <c r="F53" s="287"/>
      <c r="G53" s="62"/>
      <c r="H53" s="8"/>
      <c r="I53" s="8"/>
      <c r="J53" s="8"/>
    </row>
    <row r="54" spans="2:10" ht="15.6">
      <c r="B54" s="12" t="s">
        <v>366</v>
      </c>
      <c r="C54" s="40" t="s">
        <v>367</v>
      </c>
      <c r="D54" s="45"/>
      <c r="E54" s="8"/>
      <c r="F54" s="8"/>
      <c r="G54" s="10"/>
      <c r="H54" s="8"/>
      <c r="I54" s="8"/>
      <c r="J54" s="8"/>
    </row>
    <row r="55" spans="2:10" ht="15.6">
      <c r="B55" s="12" t="s">
        <v>368</v>
      </c>
      <c r="C55" s="40" t="s">
        <v>369</v>
      </c>
      <c r="D55" s="44">
        <f>'A5. Operations'!D127</f>
        <v>0</v>
      </c>
      <c r="E55" s="8"/>
      <c r="F55" s="8"/>
      <c r="G55" s="10"/>
      <c r="H55" s="8"/>
      <c r="I55" s="8"/>
      <c r="J55" s="8"/>
    </row>
    <row r="56" spans="2:10" ht="15.6">
      <c r="B56" s="12" t="s">
        <v>370</v>
      </c>
      <c r="C56" s="40" t="s">
        <v>371</v>
      </c>
      <c r="D56" s="45"/>
      <c r="E56" s="8"/>
      <c r="F56" s="8"/>
      <c r="G56" s="10"/>
      <c r="H56" s="8"/>
      <c r="I56" s="8"/>
      <c r="J56" s="8"/>
    </row>
    <row r="57" spans="2:10" ht="15.6">
      <c r="B57" s="12" t="s">
        <v>336</v>
      </c>
      <c r="C57" s="40" t="s">
        <v>372</v>
      </c>
      <c r="D57" s="45"/>
      <c r="E57" s="8"/>
      <c r="F57" s="8"/>
      <c r="G57" s="10"/>
      <c r="H57" s="8"/>
      <c r="I57" s="8"/>
      <c r="J57" s="8"/>
    </row>
    <row r="58" spans="2:10" ht="15.95" thickBot="1">
      <c r="B58" s="15" t="s">
        <v>373</v>
      </c>
      <c r="C58" s="47">
        <v>500</v>
      </c>
      <c r="D58" s="48">
        <f>+D54+D55+D56+D57</f>
        <v>0</v>
      </c>
      <c r="E58" s="16"/>
      <c r="F58" s="16"/>
      <c r="G58" s="49"/>
      <c r="H58" s="8"/>
      <c r="I58" s="8"/>
      <c r="J58" s="8"/>
    </row>
    <row r="59" spans="2:10" ht="15.6">
      <c r="B59" s="8"/>
      <c r="C59" s="8"/>
      <c r="D59" s="8"/>
      <c r="E59" s="8"/>
      <c r="F59" s="8"/>
      <c r="G59" s="8"/>
      <c r="H59" s="8"/>
      <c r="I59" s="8"/>
      <c r="J59" s="8"/>
    </row>
    <row r="60" spans="2:10" ht="15.6">
      <c r="B60" s="8"/>
      <c r="C60" s="8"/>
      <c r="D60" s="8"/>
      <c r="E60" s="8"/>
      <c r="F60" s="8"/>
      <c r="G60" s="8"/>
      <c r="H60" s="8"/>
      <c r="I60" s="8"/>
      <c r="J60" s="8"/>
    </row>
    <row r="61" spans="2:10" ht="15.6">
      <c r="B61" s="8"/>
      <c r="C61" s="8"/>
      <c r="D61" s="8"/>
      <c r="E61" s="8"/>
      <c r="F61" s="8"/>
      <c r="G61" s="8"/>
      <c r="H61" s="8"/>
      <c r="I61" s="8"/>
      <c r="J61" s="8"/>
    </row>
    <row r="62" spans="2:10" ht="15.6">
      <c r="B62" s="8"/>
      <c r="C62" s="8"/>
      <c r="D62" s="8"/>
      <c r="E62" s="8"/>
      <c r="F62" s="8"/>
      <c r="G62" s="8"/>
      <c r="H62" s="8"/>
      <c r="I62" s="8"/>
      <c r="J62" s="8"/>
    </row>
    <row r="63" spans="2:10" ht="15.6">
      <c r="B63" s="8"/>
      <c r="C63" s="8"/>
      <c r="D63" s="8"/>
      <c r="E63" s="8"/>
      <c r="F63" s="8"/>
      <c r="G63" s="8"/>
      <c r="H63" s="8"/>
      <c r="I63" s="8"/>
      <c r="J63" s="8"/>
    </row>
    <row r="64" spans="2:10" ht="15.6">
      <c r="B64" s="8"/>
      <c r="C64" s="8"/>
      <c r="D64" s="8"/>
      <c r="E64" s="8"/>
      <c r="F64" s="8"/>
      <c r="G64" s="8"/>
      <c r="H64" s="8"/>
      <c r="I64" s="8"/>
      <c r="J64" s="8"/>
    </row>
    <row r="65" spans="2:10" ht="15.6">
      <c r="B65" s="8"/>
      <c r="C65" s="8"/>
      <c r="D65" s="8"/>
      <c r="E65" s="8"/>
      <c r="F65" s="8"/>
      <c r="G65" s="8"/>
      <c r="H65" s="8"/>
      <c r="I65" s="8"/>
      <c r="J65" s="8"/>
    </row>
    <row r="66" spans="2:10" ht="15.6">
      <c r="B66" s="8"/>
      <c r="C66" s="8"/>
      <c r="D66" s="8"/>
      <c r="E66" s="8"/>
      <c r="F66" s="8"/>
      <c r="G66" s="8"/>
      <c r="H66" s="8"/>
      <c r="I66" s="8"/>
      <c r="J66" s="8"/>
    </row>
    <row r="67" spans="2:10" ht="15.6">
      <c r="B67" s="8"/>
      <c r="C67" s="8"/>
      <c r="D67" s="8"/>
      <c r="E67" s="8"/>
      <c r="F67" s="8"/>
      <c r="G67" s="8"/>
      <c r="H67" s="8"/>
      <c r="I67" s="8"/>
      <c r="J67" s="8"/>
    </row>
    <row r="68" spans="2:10" ht="15.6">
      <c r="B68" s="8"/>
      <c r="C68" s="8"/>
      <c r="D68" s="8"/>
      <c r="E68" s="8"/>
      <c r="F68" s="8"/>
      <c r="G68" s="8"/>
      <c r="H68" s="8"/>
      <c r="I68" s="8"/>
      <c r="J68" s="8"/>
    </row>
    <row r="69" spans="2:10" ht="15.6">
      <c r="B69" s="8"/>
      <c r="C69" s="8"/>
      <c r="D69" s="8"/>
      <c r="E69" s="8"/>
      <c r="F69" s="8"/>
      <c r="G69" s="8"/>
      <c r="H69" s="8"/>
      <c r="I69" s="8"/>
      <c r="J69" s="8"/>
    </row>
    <row r="70" spans="2:10" ht="15.6">
      <c r="B70" s="8"/>
      <c r="C70" s="8"/>
      <c r="D70" s="8"/>
      <c r="E70" s="8"/>
      <c r="F70" s="8"/>
      <c r="G70" s="8"/>
      <c r="H70" s="8"/>
      <c r="I70" s="8"/>
      <c r="J70" s="8"/>
    </row>
    <row r="71" spans="2:10" ht="15.6">
      <c r="B71" s="8"/>
      <c r="C71" s="8"/>
      <c r="D71" s="8"/>
      <c r="E71" s="8"/>
      <c r="F71" s="8"/>
      <c r="G71" s="8"/>
      <c r="H71" s="8"/>
      <c r="I71" s="8"/>
      <c r="J71" s="8"/>
    </row>
    <row r="72" spans="2:10" ht="15.6">
      <c r="B72" s="8"/>
      <c r="C72" s="8"/>
      <c r="D72" s="8"/>
      <c r="E72" s="8"/>
      <c r="F72" s="8"/>
      <c r="G72" s="8"/>
      <c r="H72" s="8"/>
      <c r="I72" s="8"/>
      <c r="J72" s="8"/>
    </row>
    <row r="73" spans="2:10" ht="15.6">
      <c r="B73" s="8"/>
      <c r="C73" s="8"/>
      <c r="D73" s="8"/>
      <c r="E73" s="8"/>
      <c r="F73" s="8"/>
      <c r="G73" s="8"/>
      <c r="H73" s="8"/>
      <c r="I73" s="8"/>
      <c r="J73" s="8"/>
    </row>
    <row r="74" spans="2:10" ht="15.6">
      <c r="B74" s="8"/>
      <c r="C74" s="8"/>
      <c r="D74" s="8"/>
      <c r="E74" s="8"/>
      <c r="F74" s="8"/>
      <c r="G74" s="8"/>
      <c r="H74" s="8"/>
      <c r="I74" s="8"/>
      <c r="J74" s="8"/>
    </row>
    <row r="75" spans="2:10" ht="15.6">
      <c r="B75" s="8"/>
      <c r="C75" s="8"/>
      <c r="D75" s="8"/>
      <c r="E75" s="8"/>
      <c r="F75" s="8"/>
      <c r="G75" s="8"/>
      <c r="H75" s="8"/>
      <c r="I75" s="8"/>
      <c r="J75" s="8"/>
    </row>
    <row r="76" spans="2:10" ht="15.6">
      <c r="B76" s="8"/>
      <c r="C76" s="8"/>
      <c r="D76" s="8"/>
      <c r="E76" s="8"/>
      <c r="F76" s="8"/>
      <c r="G76" s="8"/>
      <c r="H76" s="8"/>
      <c r="I76" s="8"/>
      <c r="J76" s="8"/>
    </row>
    <row r="77" spans="2:10">
      <c r="C77" s="28"/>
      <c r="D77" s="28"/>
    </row>
    <row r="78" spans="2:10">
      <c r="C78" s="28"/>
      <c r="D78" s="28"/>
    </row>
    <row r="79" spans="2:10">
      <c r="C79" s="28"/>
      <c r="D79" s="28"/>
    </row>
    <row r="80" spans="2:10">
      <c r="C80" s="28"/>
      <c r="D80" s="28"/>
    </row>
    <row r="81" spans="3:4">
      <c r="C81" s="28"/>
      <c r="D81" s="28"/>
    </row>
    <row r="82" spans="3:4">
      <c r="C82" s="28"/>
      <c r="D82" s="28"/>
    </row>
    <row r="83" spans="3:4">
      <c r="C83" s="28"/>
      <c r="D83" s="28"/>
    </row>
    <row r="84" spans="3:4">
      <c r="C84" s="28"/>
      <c r="D84" s="28"/>
    </row>
    <row r="85" spans="3:4">
      <c r="C85" s="28"/>
      <c r="D85" s="28"/>
    </row>
    <row r="86" spans="3:4">
      <c r="C86" s="28"/>
      <c r="D86" s="28"/>
    </row>
    <row r="87" spans="3:4">
      <c r="C87" s="28"/>
      <c r="D87" s="28"/>
    </row>
    <row r="88" spans="3:4">
      <c r="C88" s="28"/>
      <c r="D88" s="28"/>
    </row>
    <row r="89" spans="3:4">
      <c r="C89" s="28"/>
      <c r="D89" s="28"/>
    </row>
    <row r="90" spans="3:4">
      <c r="C90" s="28"/>
      <c r="D90" s="28"/>
    </row>
    <row r="91" spans="3:4">
      <c r="C91" s="28"/>
      <c r="D91" s="28"/>
    </row>
    <row r="92" spans="3:4">
      <c r="C92" s="28"/>
      <c r="D92" s="28"/>
    </row>
    <row r="93" spans="3:4">
      <c r="C93" s="28"/>
      <c r="D93" s="28"/>
    </row>
    <row r="94" spans="3:4">
      <c r="C94" s="28"/>
      <c r="D94" s="28"/>
    </row>
    <row r="95" spans="3:4">
      <c r="C95" s="28"/>
      <c r="D95" s="28"/>
    </row>
    <row r="96" spans="3:4">
      <c r="C96" s="28"/>
      <c r="D96" s="28"/>
    </row>
    <row r="97" spans="3:4">
      <c r="C97" s="28"/>
      <c r="D97" s="28"/>
    </row>
    <row r="98" spans="3:4">
      <c r="C98" s="28"/>
      <c r="D98" s="28"/>
    </row>
    <row r="99" spans="3:4">
      <c r="C99" s="28"/>
      <c r="D99" s="28"/>
    </row>
    <row r="100" spans="3:4">
      <c r="C100" s="28"/>
      <c r="D100" s="28"/>
    </row>
    <row r="101" spans="3:4">
      <c r="C101" s="28"/>
      <c r="D101" s="28"/>
    </row>
    <row r="102" spans="3:4">
      <c r="C102" s="28"/>
      <c r="D102" s="28"/>
    </row>
    <row r="103" spans="3:4">
      <c r="C103" s="28"/>
      <c r="D103" s="28"/>
    </row>
    <row r="104" spans="3:4">
      <c r="C104" s="28"/>
      <c r="D104" s="28"/>
    </row>
    <row r="105" spans="3:4">
      <c r="C105" s="28"/>
      <c r="D105" s="28"/>
    </row>
    <row r="106" spans="3:4">
      <c r="C106" s="28"/>
      <c r="D106" s="28"/>
    </row>
    <row r="107" spans="3:4">
      <c r="C107" s="28"/>
      <c r="D107" s="28"/>
    </row>
    <row r="108" spans="3:4">
      <c r="C108" s="28"/>
      <c r="D108" s="28"/>
    </row>
    <row r="109" spans="3:4">
      <c r="C109" s="28"/>
      <c r="D109" s="28"/>
    </row>
  </sheetData>
  <sheetProtection algorithmName="SHA-512" hashValue="LN+lcNwNQJnawd9t3BIp4/lrVdXsFc5Lav/VyKzhRcvDKTREWs0StEg0v8I6ZGC+TPG/o9Rk29xl/H+beUqZAA==" saltValue="Coi4/wpOt6T4Lj3/+fBwhQ==" spinCount="100000" sheet="1" objects="1" scenarios="1"/>
  <mergeCells count="6">
    <mergeCell ref="G31:G33"/>
    <mergeCell ref="B51:D51"/>
    <mergeCell ref="G36:G38"/>
    <mergeCell ref="B1:H1"/>
    <mergeCell ref="B2:H2"/>
    <mergeCell ref="B3:H3"/>
  </mergeCells>
  <conditionalFormatting sqref="G34">
    <cfRule type="expression" dxfId="35" priority="4">
      <formula>$D$34&gt;1</formula>
    </cfRule>
    <cfRule type="expression" dxfId="34" priority="5">
      <formula>$D$34&gt;0</formula>
    </cfRule>
    <cfRule type="cellIs" dxfId="33" priority="6" operator="greaterThan">
      <formula>$D$34&gt;0</formula>
    </cfRule>
  </conditionalFormatting>
  <dataValidations count="1">
    <dataValidation type="decimal" allowBlank="1" showInputMessage="1" showErrorMessage="1" error="Input amount as negative " prompt="Input amount as negative " sqref="D56" xr:uid="{94572151-7153-46B6-BA12-48A32AA8ED4E}">
      <formula1>-1E+26</formula1>
      <formula2>0</formula2>
    </dataValidation>
  </dataValidations>
  <pageMargins left="0.7" right="0.7" top="0.75" bottom="0.75" header="0.3" footer="0.3"/>
  <pageSetup scale="5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77C6E-3361-43C8-96A6-800F4B1F0D03}">
  <sheetPr>
    <tabColor theme="9" tint="0.59999389629810485"/>
  </sheetPr>
  <dimension ref="B1:M196"/>
  <sheetViews>
    <sheetView showGridLines="0" zoomScaleNormal="100" workbookViewId="0">
      <pane xSplit="2" ySplit="3" topLeftCell="C4" activePane="bottomRight" state="frozen"/>
      <selection pane="bottomRight" activeCell="F7" sqref="F7"/>
      <selection pane="bottomLeft" activeCell="A4" sqref="A4"/>
      <selection pane="topRight" activeCell="B1" sqref="B1"/>
    </sheetView>
  </sheetViews>
  <sheetFormatPr defaultColWidth="9.140625" defaultRowHeight="15.6"/>
  <cols>
    <col min="1" max="1" width="3.42578125" style="8" customWidth="1"/>
    <col min="2" max="2" width="92.85546875" style="8" customWidth="1"/>
    <col min="3" max="3" width="9.7109375" style="8" customWidth="1"/>
    <col min="4" max="4" width="22.5703125" style="8" customWidth="1"/>
    <col min="5" max="5" width="22" style="8" customWidth="1"/>
    <col min="6" max="6" width="22.28515625" style="8" customWidth="1"/>
    <col min="7" max="7" width="6.85546875" style="8" customWidth="1"/>
    <col min="8" max="8" width="79.85546875" style="8" customWidth="1"/>
    <col min="9" max="9" width="10.85546875" style="8" customWidth="1"/>
    <col min="10" max="10" width="9.140625" style="8"/>
    <col min="11" max="11" width="17.5703125" style="8" customWidth="1"/>
    <col min="12" max="16384" width="9.140625" style="8"/>
  </cols>
  <sheetData>
    <row r="1" spans="2:12" ht="21" customHeight="1">
      <c r="B1" s="1127" t="str">
        <f>IF('A1. Identification'!D7=0, "FAIR LHCC - Peel Secondary SSM",'A1. Identification'!D7)</f>
        <v>FAIR LHCC - Peel Secondary SSM</v>
      </c>
      <c r="C1" s="1128"/>
      <c r="D1" s="1128"/>
      <c r="E1" s="1128"/>
      <c r="F1" s="1128"/>
      <c r="G1" s="307"/>
      <c r="K1" s="106" t="s">
        <v>1</v>
      </c>
      <c r="L1" s="107" t="str">
        <f>IF('A1. Identification'!$D$13=0, " ",'A1. Identification'!$D$13)</f>
        <v xml:space="preserve"> </v>
      </c>
    </row>
    <row r="2" spans="2:12" ht="18.95" customHeight="1">
      <c r="B2" s="1129" t="s">
        <v>374</v>
      </c>
      <c r="C2" s="1062"/>
      <c r="D2" s="1062"/>
      <c r="E2" s="1062"/>
      <c r="F2" s="1062"/>
      <c r="G2" s="308"/>
      <c r="K2" s="106" t="s">
        <v>3</v>
      </c>
      <c r="L2" s="107" t="str">
        <f>IF(F7=0,"Please enter Ministry licence number on tab A6 row 7",F7)</f>
        <v>Please enter Ministry licence number on tab A6 row 7</v>
      </c>
    </row>
    <row r="3" spans="2:12" ht="17.45" customHeight="1" thickBot="1">
      <c r="B3" s="1130" t="s">
        <v>375</v>
      </c>
      <c r="C3" s="1131"/>
      <c r="D3" s="1131"/>
      <c r="E3" s="1131"/>
      <c r="F3" s="1131"/>
      <c r="G3" s="1132"/>
      <c r="H3" s="13"/>
    </row>
    <row r="4" spans="2:12" s="309" customFormat="1" ht="10.5" customHeight="1">
      <c r="H4" s="809" t="s">
        <v>376</v>
      </c>
    </row>
    <row r="5" spans="2:12" s="309" customFormat="1" ht="24.95" customHeight="1">
      <c r="B5" s="984" t="s">
        <v>377</v>
      </c>
    </row>
    <row r="6" spans="2:12" ht="21.75" customHeight="1" thickBot="1">
      <c r="B6" s="310" t="s">
        <v>378</v>
      </c>
      <c r="I6" s="783"/>
    </row>
    <row r="7" spans="2:12" ht="15.95" thickBot="1">
      <c r="B7" s="311" t="s">
        <v>379</v>
      </c>
      <c r="C7" s="312"/>
      <c r="D7" s="312"/>
      <c r="E7" s="312"/>
      <c r="F7" s="174"/>
      <c r="G7" s="113" t="s">
        <v>380</v>
      </c>
      <c r="H7" s="782"/>
      <c r="I7" s="783"/>
    </row>
    <row r="8" spans="2:12">
      <c r="B8" s="73" t="s">
        <v>381</v>
      </c>
      <c r="F8" s="299"/>
      <c r="G8" s="103" t="s">
        <v>382</v>
      </c>
      <c r="H8" s="806" t="s">
        <v>383</v>
      </c>
      <c r="I8" s="783"/>
    </row>
    <row r="9" spans="2:12" ht="15.75" customHeight="1">
      <c r="B9" s="73" t="s">
        <v>384</v>
      </c>
      <c r="F9" s="176"/>
      <c r="G9" s="103" t="s">
        <v>385</v>
      </c>
      <c r="H9" s="807" t="s">
        <v>386</v>
      </c>
      <c r="I9" s="783"/>
    </row>
    <row r="10" spans="2:12" ht="15.75" customHeight="1" thickBot="1">
      <c r="B10" s="73" t="s">
        <v>387</v>
      </c>
      <c r="F10" s="175"/>
      <c r="G10" s="103" t="s">
        <v>388</v>
      </c>
      <c r="H10" s="808" t="s">
        <v>389</v>
      </c>
    </row>
    <row r="11" spans="2:12" ht="15.75" hidden="1" customHeight="1">
      <c r="B11" s="689" t="s">
        <v>390</v>
      </c>
      <c r="C11" s="119"/>
      <c r="F11" s="175"/>
      <c r="G11" s="103" t="s">
        <v>391</v>
      </c>
    </row>
    <row r="12" spans="2:12" ht="15.95" hidden="1" thickBot="1">
      <c r="B12" s="689" t="s">
        <v>392</v>
      </c>
      <c r="C12" s="13"/>
      <c r="D12" s="13"/>
      <c r="F12" s="299"/>
      <c r="G12" s="103" t="s">
        <v>393</v>
      </c>
    </row>
    <row r="13" spans="2:12">
      <c r="B13" s="73" t="s">
        <v>394</v>
      </c>
      <c r="C13" s="13"/>
      <c r="D13" s="13"/>
      <c r="F13" s="299"/>
      <c r="G13" s="103" t="s">
        <v>395</v>
      </c>
      <c r="H13" s="691"/>
      <c r="I13" s="113" t="s">
        <v>396</v>
      </c>
    </row>
    <row r="14" spans="2:12">
      <c r="B14" s="73" t="s">
        <v>397</v>
      </c>
      <c r="C14" s="13"/>
      <c r="D14" s="13"/>
      <c r="F14" s="299"/>
      <c r="G14" s="103" t="s">
        <v>398</v>
      </c>
      <c r="H14" s="620"/>
      <c r="I14" s="103" t="s">
        <v>399</v>
      </c>
    </row>
    <row r="15" spans="2:12" ht="15.95" thickBot="1">
      <c r="B15" s="313" t="s">
        <v>400</v>
      </c>
      <c r="C15" s="16"/>
      <c r="D15" s="314"/>
      <c r="E15" s="1135"/>
      <c r="F15" s="1136"/>
      <c r="G15" s="104" t="s">
        <v>401</v>
      </c>
      <c r="H15" s="621"/>
      <c r="I15" s="104" t="s">
        <v>402</v>
      </c>
    </row>
    <row r="16" spans="2:12" s="13" customFormat="1" ht="15.95" thickBot="1">
      <c r="G16" s="8"/>
    </row>
    <row r="17" spans="2:8" ht="31.5" thickBot="1">
      <c r="B17" s="315" t="s">
        <v>403</v>
      </c>
      <c r="C17" s="60"/>
      <c r="D17" s="316" t="s">
        <v>404</v>
      </c>
      <c r="E17" s="317" t="s">
        <v>405</v>
      </c>
      <c r="F17" s="318" t="s">
        <v>406</v>
      </c>
      <c r="H17" s="82"/>
    </row>
    <row r="18" spans="2:8" ht="15.75" customHeight="1">
      <c r="B18" s="319" t="s">
        <v>407</v>
      </c>
      <c r="C18" s="320">
        <v>301</v>
      </c>
      <c r="D18" s="982"/>
      <c r="E18" s="389"/>
      <c r="F18" s="321"/>
      <c r="H18" s="114" t="str">
        <f t="shared" ref="H18:H24" si="0">IF(AND(ISNUMBER(D18), ISBLANK(E18)), "Error: Missing 0-6 amount", "")</f>
        <v/>
      </c>
    </row>
    <row r="19" spans="2:8">
      <c r="B19" s="19" t="s">
        <v>408</v>
      </c>
      <c r="C19" s="322">
        <v>302</v>
      </c>
      <c r="D19" s="98"/>
      <c r="E19" s="26"/>
      <c r="F19" s="323"/>
      <c r="H19" s="114" t="str">
        <f t="shared" si="0"/>
        <v/>
      </c>
    </row>
    <row r="20" spans="2:8">
      <c r="B20" s="19" t="s">
        <v>409</v>
      </c>
      <c r="C20" s="322">
        <v>303</v>
      </c>
      <c r="D20" s="98"/>
      <c r="E20" s="26"/>
      <c r="F20" s="324">
        <f>+D20-E20</f>
        <v>0</v>
      </c>
      <c r="H20" s="114" t="str">
        <f t="shared" si="0"/>
        <v/>
      </c>
    </row>
    <row r="21" spans="2:8">
      <c r="B21" s="19" t="s">
        <v>410</v>
      </c>
      <c r="C21" s="322">
        <v>304</v>
      </c>
      <c r="D21" s="98"/>
      <c r="E21" s="26"/>
      <c r="F21" s="324">
        <f>+D21-E21</f>
        <v>0</v>
      </c>
      <c r="H21" s="114" t="str">
        <f t="shared" si="0"/>
        <v/>
      </c>
    </row>
    <row r="22" spans="2:8">
      <c r="B22" s="19" t="s">
        <v>411</v>
      </c>
      <c r="C22" s="322">
        <v>305</v>
      </c>
      <c r="D22" s="98"/>
      <c r="E22" s="98"/>
      <c r="F22" s="324">
        <f>+D22-E22</f>
        <v>0</v>
      </c>
      <c r="H22" s="114" t="str">
        <f t="shared" si="0"/>
        <v/>
      </c>
    </row>
    <row r="23" spans="2:8" s="326" customFormat="1">
      <c r="B23" s="19" t="s">
        <v>412</v>
      </c>
      <c r="C23" s="322">
        <v>306</v>
      </c>
      <c r="D23" s="98"/>
      <c r="E23" s="26"/>
      <c r="F23" s="323"/>
      <c r="H23" s="114" t="str">
        <f t="shared" si="0"/>
        <v/>
      </c>
    </row>
    <row r="24" spans="2:8">
      <c r="B24" s="19" t="s">
        <v>413</v>
      </c>
      <c r="C24" s="322">
        <v>307</v>
      </c>
      <c r="D24" s="98"/>
      <c r="E24" s="26"/>
      <c r="F24" s="324">
        <f>D24-E24</f>
        <v>0</v>
      </c>
      <c r="H24" s="114" t="str">
        <f t="shared" si="0"/>
        <v/>
      </c>
    </row>
    <row r="25" spans="2:8" hidden="1">
      <c r="B25" s="19" t="s">
        <v>414</v>
      </c>
      <c r="C25" s="322">
        <v>308</v>
      </c>
      <c r="D25" s="98"/>
      <c r="E25" s="26"/>
      <c r="F25" s="324">
        <f>D25-E25</f>
        <v>0</v>
      </c>
      <c r="H25" s="406" t="s">
        <v>415</v>
      </c>
    </row>
    <row r="26" spans="2:8" ht="15.75" hidden="1" customHeight="1">
      <c r="B26" s="19" t="s">
        <v>416</v>
      </c>
      <c r="C26" s="322">
        <v>309</v>
      </c>
      <c r="D26" s="98"/>
      <c r="E26" s="26"/>
      <c r="F26" s="324">
        <f>D26-E26</f>
        <v>0</v>
      </c>
      <c r="H26" s="11" t="s">
        <v>417</v>
      </c>
    </row>
    <row r="27" spans="2:8" hidden="1">
      <c r="B27" s="19" t="s">
        <v>418</v>
      </c>
      <c r="C27" s="322">
        <v>309</v>
      </c>
      <c r="D27" s="98"/>
      <c r="E27" s="26"/>
      <c r="F27" s="324">
        <f>D27-E27</f>
        <v>0</v>
      </c>
      <c r="H27" s="406" t="s">
        <v>415</v>
      </c>
    </row>
    <row r="28" spans="2:8">
      <c r="B28" s="284" t="s">
        <v>419</v>
      </c>
      <c r="C28" s="322">
        <v>310</v>
      </c>
      <c r="D28" s="98"/>
      <c r="E28" s="26"/>
      <c r="F28" s="324">
        <f>+D28-E28</f>
        <v>0</v>
      </c>
      <c r="H28" s="114" t="str">
        <f>IF(AND(ISNUMBER(D28), ISBLANK(E28)), "Error: Missing 0-6 amount", "")</f>
        <v/>
      </c>
    </row>
    <row r="29" spans="2:8">
      <c r="B29" s="284" t="s">
        <v>420</v>
      </c>
      <c r="C29" s="322">
        <v>311</v>
      </c>
      <c r="D29" s="98"/>
      <c r="E29" s="26"/>
      <c r="F29" s="324">
        <f>+D29-E29</f>
        <v>0</v>
      </c>
      <c r="H29" s="114" t="str">
        <f>IF(AND(ISNUMBER(D29), ISBLANK(E29)), "Error: Missing 0-6 amount", "")</f>
        <v/>
      </c>
    </row>
    <row r="30" spans="2:8" ht="16.5" customHeight="1" thickBot="1">
      <c r="B30" s="328" t="s">
        <v>421</v>
      </c>
      <c r="C30" s="329">
        <v>312</v>
      </c>
      <c r="D30" s="330">
        <f>SUM(D18:D29)</f>
        <v>0</v>
      </c>
      <c r="E30" s="331">
        <f>SUM(E18:E29)</f>
        <v>0</v>
      </c>
      <c r="F30" s="330">
        <f>SUM(F18:F29)</f>
        <v>0</v>
      </c>
      <c r="H30" s="369"/>
    </row>
    <row r="31" spans="2:8" ht="16.5" customHeight="1" thickBot="1">
      <c r="C31" s="332"/>
      <c r="D31" s="59"/>
      <c r="E31" s="59"/>
      <c r="F31" s="59"/>
    </row>
    <row r="32" spans="2:8" ht="18.600000000000001">
      <c r="B32" s="333" t="s">
        <v>422</v>
      </c>
      <c r="C32" s="60"/>
      <c r="D32" s="316" t="s">
        <v>404</v>
      </c>
      <c r="E32" s="316" t="s">
        <v>423</v>
      </c>
      <c r="F32" s="334" t="s">
        <v>424</v>
      </c>
    </row>
    <row r="33" spans="2:11" ht="15.95" thickBot="1">
      <c r="B33" s="335" t="s">
        <v>425</v>
      </c>
      <c r="C33" s="336"/>
      <c r="D33" s="337"/>
      <c r="E33" s="337" t="s">
        <v>426</v>
      </c>
      <c r="F33" s="338" t="s">
        <v>427</v>
      </c>
    </row>
    <row r="34" spans="2:11" ht="16.5" customHeight="1" thickBot="1">
      <c r="C34" s="16"/>
      <c r="D34" s="339"/>
      <c r="E34" s="340"/>
      <c r="H34" s="1133" t="s">
        <v>428</v>
      </c>
    </row>
    <row r="35" spans="2:11" ht="15.95" thickBot="1">
      <c r="B35" s="341" t="s">
        <v>429</v>
      </c>
      <c r="C35" s="342">
        <v>411</v>
      </c>
      <c r="D35" s="343">
        <f>+D37+D45+D53</f>
        <v>0</v>
      </c>
      <c r="E35" s="343">
        <f>+E37+E45+E53</f>
        <v>0</v>
      </c>
      <c r="F35" s="343">
        <f>+F37+F45+F53</f>
        <v>0</v>
      </c>
      <c r="H35" s="1134"/>
    </row>
    <row r="36" spans="2:11" ht="16.5" customHeight="1" thickBot="1">
      <c r="C36" s="332"/>
      <c r="D36" s="59"/>
      <c r="E36" s="59"/>
      <c r="F36" s="59"/>
    </row>
    <row r="37" spans="2:11" ht="15.95" hidden="1" thickBot="1">
      <c r="B37" s="112" t="s">
        <v>430</v>
      </c>
      <c r="C37" s="113" t="s">
        <v>431</v>
      </c>
      <c r="D37" s="343"/>
      <c r="E37" s="343"/>
      <c r="F37" s="343">
        <f>SUM(F38:F44)</f>
        <v>0</v>
      </c>
      <c r="H37" s="351"/>
      <c r="I37" s="8" t="str">
        <f t="shared" ref="I37:I52" si="1">IF(AND(ISNUMBER(D37), ISBLANK(E37)), "Error: Missing 0-6 amount", "")</f>
        <v/>
      </c>
    </row>
    <row r="38" spans="2:11" ht="14.45" hidden="1" customHeight="1">
      <c r="B38" s="169" t="s">
        <v>432</v>
      </c>
      <c r="C38" s="103" t="s">
        <v>433</v>
      </c>
      <c r="D38" s="400"/>
      <c r="E38" s="400"/>
      <c r="F38" s="399">
        <f t="shared" ref="F38:F44" si="2">+D38-E38</f>
        <v>0</v>
      </c>
      <c r="H38" s="300" t="s">
        <v>434</v>
      </c>
      <c r="I38" s="114" t="str">
        <f t="shared" si="1"/>
        <v/>
      </c>
      <c r="K38" s="9"/>
    </row>
    <row r="39" spans="2:11" ht="14.45" hidden="1" customHeight="1">
      <c r="B39" s="618" t="s">
        <v>435</v>
      </c>
      <c r="C39" s="110" t="s">
        <v>436</v>
      </c>
      <c r="D39" s="400"/>
      <c r="E39" s="400"/>
      <c r="F39" s="399">
        <f t="shared" si="2"/>
        <v>0</v>
      </c>
      <c r="H39" s="300" t="s">
        <v>434</v>
      </c>
      <c r="I39" s="114"/>
      <c r="K39" s="9"/>
    </row>
    <row r="40" spans="2:11" hidden="1">
      <c r="B40" s="169" t="s">
        <v>437</v>
      </c>
      <c r="C40" s="103" t="s">
        <v>438</v>
      </c>
      <c r="D40" s="26"/>
      <c r="E40" s="26"/>
      <c r="F40" s="344">
        <f t="shared" si="2"/>
        <v>0</v>
      </c>
      <c r="H40" s="300" t="s">
        <v>439</v>
      </c>
      <c r="I40" s="114" t="str">
        <f t="shared" si="1"/>
        <v/>
      </c>
      <c r="K40" s="9"/>
    </row>
    <row r="41" spans="2:11" hidden="1">
      <c r="B41" s="169" t="s">
        <v>440</v>
      </c>
      <c r="C41" s="103" t="s">
        <v>441</v>
      </c>
      <c r="D41" s="26"/>
      <c r="E41" s="26"/>
      <c r="F41" s="344">
        <f t="shared" si="2"/>
        <v>0</v>
      </c>
      <c r="H41" s="300" t="s">
        <v>439</v>
      </c>
      <c r="I41" s="114" t="str">
        <f t="shared" si="1"/>
        <v/>
      </c>
      <c r="K41" s="9"/>
    </row>
    <row r="42" spans="2:11" hidden="1">
      <c r="B42" s="169" t="s">
        <v>442</v>
      </c>
      <c r="C42" s="103" t="s">
        <v>443</v>
      </c>
      <c r="D42" s="26"/>
      <c r="E42" s="26"/>
      <c r="F42" s="344">
        <f t="shared" si="2"/>
        <v>0</v>
      </c>
      <c r="H42" s="300"/>
      <c r="I42" s="114" t="str">
        <f t="shared" si="1"/>
        <v/>
      </c>
      <c r="K42" s="9"/>
    </row>
    <row r="43" spans="2:11" hidden="1">
      <c r="B43" s="169" t="s">
        <v>444</v>
      </c>
      <c r="C43" s="110" t="s">
        <v>445</v>
      </c>
      <c r="D43" s="26"/>
      <c r="E43" s="26"/>
      <c r="F43" s="344">
        <f t="shared" si="2"/>
        <v>0</v>
      </c>
      <c r="H43" s="300"/>
      <c r="I43" s="114" t="str">
        <f t="shared" si="1"/>
        <v/>
      </c>
      <c r="K43" s="9"/>
    </row>
    <row r="44" spans="2:11" ht="15.95" hidden="1" thickBot="1">
      <c r="B44" s="382" t="s">
        <v>446</v>
      </c>
      <c r="C44" s="104" t="s">
        <v>447</v>
      </c>
      <c r="D44" s="26"/>
      <c r="E44" s="26"/>
      <c r="F44" s="345">
        <f t="shared" si="2"/>
        <v>0</v>
      </c>
      <c r="H44" s="301"/>
      <c r="I44" s="114" t="str">
        <f t="shared" si="1"/>
        <v/>
      </c>
      <c r="K44" s="9"/>
    </row>
    <row r="45" spans="2:11" ht="15.95" thickBot="1">
      <c r="B45" s="341" t="s">
        <v>448</v>
      </c>
      <c r="C45" s="102" t="s">
        <v>449</v>
      </c>
      <c r="D45" s="343">
        <f>SUM(D46:D52)</f>
        <v>0</v>
      </c>
      <c r="E45" s="343">
        <f>SUM(E46:E52)</f>
        <v>0</v>
      </c>
      <c r="F45" s="343">
        <f>SUM(F46:F52)</f>
        <v>0</v>
      </c>
      <c r="H45" s="351"/>
      <c r="I45" s="114" t="str">
        <f t="shared" si="1"/>
        <v/>
      </c>
    </row>
    <row r="46" spans="2:11">
      <c r="B46" s="169" t="s">
        <v>434</v>
      </c>
      <c r="C46" s="110" t="s">
        <v>450</v>
      </c>
      <c r="D46" s="400"/>
      <c r="E46" s="400"/>
      <c r="F46" s="399">
        <f t="shared" ref="F46:F52" si="3">+D46-E46</f>
        <v>0</v>
      </c>
      <c r="H46" s="300"/>
      <c r="I46" s="114" t="str">
        <f t="shared" si="1"/>
        <v/>
      </c>
      <c r="K46" s="9"/>
    </row>
    <row r="47" spans="2:11">
      <c r="B47" s="618" t="s">
        <v>451</v>
      </c>
      <c r="C47" s="110" t="s">
        <v>452</v>
      </c>
      <c r="D47" s="400"/>
      <c r="E47" s="400"/>
      <c r="F47" s="344">
        <f t="shared" si="3"/>
        <v>0</v>
      </c>
      <c r="H47" s="300"/>
      <c r="I47" s="114" t="str">
        <f t="shared" si="1"/>
        <v/>
      </c>
      <c r="K47" s="9"/>
    </row>
    <row r="48" spans="2:11">
      <c r="B48" s="169" t="s">
        <v>453</v>
      </c>
      <c r="C48" s="110" t="s">
        <v>454</v>
      </c>
      <c r="D48" s="26"/>
      <c r="E48" s="26"/>
      <c r="F48" s="344">
        <f t="shared" si="3"/>
        <v>0</v>
      </c>
      <c r="H48" s="300"/>
      <c r="I48" s="114" t="str">
        <f t="shared" si="1"/>
        <v/>
      </c>
      <c r="K48" s="9"/>
    </row>
    <row r="49" spans="2:11">
      <c r="B49" s="169" t="s">
        <v>455</v>
      </c>
      <c r="C49" s="110" t="s">
        <v>456</v>
      </c>
      <c r="D49" s="26"/>
      <c r="E49" s="26"/>
      <c r="F49" s="344">
        <f t="shared" si="3"/>
        <v>0</v>
      </c>
      <c r="H49" s="300"/>
      <c r="I49" s="114" t="str">
        <f t="shared" si="1"/>
        <v/>
      </c>
      <c r="K49" s="9"/>
    </row>
    <row r="50" spans="2:11">
      <c r="B50" s="169" t="s">
        <v>457</v>
      </c>
      <c r="C50" s="110" t="s">
        <v>458</v>
      </c>
      <c r="D50" s="26"/>
      <c r="E50" s="26"/>
      <c r="F50" s="344">
        <f t="shared" si="3"/>
        <v>0</v>
      </c>
      <c r="H50" s="302"/>
      <c r="I50" s="114" t="str">
        <f t="shared" si="1"/>
        <v/>
      </c>
      <c r="K50" s="9"/>
    </row>
    <row r="51" spans="2:11">
      <c r="B51" s="169" t="s">
        <v>459</v>
      </c>
      <c r="C51" s="110" t="s">
        <v>460</v>
      </c>
      <c r="D51" s="26"/>
      <c r="E51" s="26"/>
      <c r="F51" s="344">
        <f t="shared" si="3"/>
        <v>0</v>
      </c>
      <c r="H51" s="302"/>
      <c r="I51" s="114" t="str">
        <f t="shared" si="1"/>
        <v/>
      </c>
      <c r="K51" s="9"/>
    </row>
    <row r="52" spans="2:11" ht="15.95" thickBot="1">
      <c r="B52" s="382" t="s">
        <v>461</v>
      </c>
      <c r="C52" s="104" t="s">
        <v>462</v>
      </c>
      <c r="D52" s="26"/>
      <c r="E52" s="26"/>
      <c r="F52" s="345">
        <f t="shared" si="3"/>
        <v>0</v>
      </c>
      <c r="H52" s="301"/>
      <c r="I52" s="114" t="str">
        <f t="shared" si="1"/>
        <v/>
      </c>
      <c r="K52" s="9"/>
    </row>
    <row r="53" spans="2:11" ht="15.95" thickBot="1">
      <c r="B53" s="341" t="s">
        <v>463</v>
      </c>
      <c r="C53" s="102" t="s">
        <v>464</v>
      </c>
      <c r="D53" s="388">
        <f>SUM(D54:D60)</f>
        <v>0</v>
      </c>
      <c r="E53" s="388">
        <f>SUM(E54:E60)</f>
        <v>0</v>
      </c>
      <c r="F53" s="343">
        <f>SUM(F54:F60)</f>
        <v>0</v>
      </c>
      <c r="H53" s="351"/>
    </row>
    <row r="54" spans="2:11">
      <c r="B54" s="346" t="s">
        <v>465</v>
      </c>
      <c r="C54" s="110" t="s">
        <v>466</v>
      </c>
      <c r="D54" s="389"/>
      <c r="E54" s="389"/>
      <c r="F54" s="399">
        <f t="shared" ref="F54:F60" si="4">+D54-E54</f>
        <v>0</v>
      </c>
      <c r="H54" s="679"/>
      <c r="I54" s="114" t="str">
        <f t="shared" ref="I54:I59" si="5">IF(AND(ISNUMBER(D54), ISBLANK(E54)), "Error: Missing 0-6 amount", "")</f>
        <v/>
      </c>
      <c r="K54" s="9"/>
    </row>
    <row r="55" spans="2:11">
      <c r="B55" s="346" t="s">
        <v>467</v>
      </c>
      <c r="C55" s="110" t="s">
        <v>468</v>
      </c>
      <c r="D55" s="26"/>
      <c r="E55" s="26"/>
      <c r="F55" s="344">
        <f t="shared" si="4"/>
        <v>0</v>
      </c>
      <c r="H55" s="302"/>
      <c r="I55" s="114" t="str">
        <f t="shared" si="5"/>
        <v/>
      </c>
      <c r="K55" s="9"/>
    </row>
    <row r="56" spans="2:11">
      <c r="B56" s="347" t="s">
        <v>469</v>
      </c>
      <c r="C56" s="110" t="s">
        <v>470</v>
      </c>
      <c r="D56" s="26"/>
      <c r="E56" s="26"/>
      <c r="F56" s="344">
        <f t="shared" si="4"/>
        <v>0</v>
      </c>
      <c r="H56" s="302"/>
      <c r="I56" s="114" t="str">
        <f t="shared" si="5"/>
        <v/>
      </c>
      <c r="K56" s="9"/>
    </row>
    <row r="57" spans="2:11">
      <c r="B57" s="347" t="s">
        <v>471</v>
      </c>
      <c r="C57" s="110" t="s">
        <v>472</v>
      </c>
      <c r="D57" s="26"/>
      <c r="E57" s="26"/>
      <c r="F57" s="348">
        <f t="shared" si="4"/>
        <v>0</v>
      </c>
      <c r="H57" s="302"/>
      <c r="I57" s="114" t="str">
        <f t="shared" si="5"/>
        <v/>
      </c>
      <c r="K57" s="9"/>
    </row>
    <row r="58" spans="2:11">
      <c r="B58" s="347" t="s">
        <v>473</v>
      </c>
      <c r="C58" s="110" t="s">
        <v>474</v>
      </c>
      <c r="D58" s="26"/>
      <c r="E58" s="26"/>
      <c r="F58" s="348">
        <f t="shared" si="4"/>
        <v>0</v>
      </c>
      <c r="H58" s="302"/>
      <c r="I58" s="114" t="str">
        <f t="shared" si="5"/>
        <v/>
      </c>
      <c r="K58" s="9"/>
    </row>
    <row r="59" spans="2:11">
      <c r="B59" s="347" t="s">
        <v>475</v>
      </c>
      <c r="C59" s="110" t="s">
        <v>476</v>
      </c>
      <c r="D59" s="26"/>
      <c r="E59" s="26"/>
      <c r="F59" s="348">
        <f t="shared" si="4"/>
        <v>0</v>
      </c>
      <c r="H59" s="302"/>
      <c r="I59" s="114" t="str">
        <f t="shared" si="5"/>
        <v/>
      </c>
      <c r="K59" s="9"/>
    </row>
    <row r="60" spans="2:11" ht="15.95" thickBot="1">
      <c r="B60" s="381" t="s">
        <v>477</v>
      </c>
      <c r="C60" s="104" t="s">
        <v>478</v>
      </c>
      <c r="D60" s="105"/>
      <c r="E60" s="105"/>
      <c r="F60" s="345">
        <f t="shared" si="4"/>
        <v>0</v>
      </c>
      <c r="H60" s="301"/>
      <c r="I60" s="114" t="str">
        <f>IF(AND(ISNUMBER(D60), ISBLANK(E60)), "Error: Missing 0-6 amount", "")</f>
        <v/>
      </c>
      <c r="K60" s="9"/>
    </row>
    <row r="61" spans="2:11" s="11" customFormat="1" ht="15.95" thickBot="1">
      <c r="B61" s="13"/>
      <c r="C61" s="13"/>
      <c r="D61" s="13"/>
      <c r="E61" s="13"/>
      <c r="F61" s="13"/>
      <c r="G61" s="13"/>
      <c r="H61" s="349"/>
      <c r="K61" s="9"/>
    </row>
    <row r="62" spans="2:11" ht="15.95" thickBot="1">
      <c r="B62" s="761" t="s">
        <v>479</v>
      </c>
      <c r="C62" s="102">
        <v>421</v>
      </c>
      <c r="D62" s="388">
        <f>SUM(D63:D69)</f>
        <v>0</v>
      </c>
      <c r="E62" s="388">
        <f>SUM(E63:E69)</f>
        <v>0</v>
      </c>
      <c r="F62" s="343">
        <f>SUM(F63:F69)</f>
        <v>0</v>
      </c>
      <c r="H62" s="351"/>
      <c r="I62" s="352"/>
      <c r="K62" s="9"/>
    </row>
    <row r="63" spans="2:11">
      <c r="B63" s="25" t="s">
        <v>480</v>
      </c>
      <c r="C63" s="103" t="s">
        <v>481</v>
      </c>
      <c r="D63" s="389"/>
      <c r="E63" s="389"/>
      <c r="F63" s="399">
        <f t="shared" ref="F63:F69" si="6">+D63-E63</f>
        <v>0</v>
      </c>
      <c r="H63" s="303"/>
      <c r="I63" s="114" t="str">
        <f>IF(AND(ISNUMBER(D63), ISBLANK(E63)), "Error: Missing 0-6 amount", "")</f>
        <v/>
      </c>
      <c r="K63" s="9"/>
    </row>
    <row r="64" spans="2:11">
      <c r="B64" s="25" t="s">
        <v>482</v>
      </c>
      <c r="C64" s="103" t="s">
        <v>483</v>
      </c>
      <c r="D64" s="26"/>
      <c r="E64" s="26"/>
      <c r="F64" s="344">
        <f t="shared" si="6"/>
        <v>0</v>
      </c>
      <c r="H64" s="300"/>
      <c r="I64" s="114" t="str">
        <f t="shared" ref="I64:I69" si="7">IF(AND(ISNUMBER(D64), ISBLANK(E64)), "Error: Missing 0-6 amount", "")</f>
        <v/>
      </c>
      <c r="K64" s="9"/>
    </row>
    <row r="65" spans="2:12">
      <c r="B65" s="25" t="s">
        <v>484</v>
      </c>
      <c r="C65" s="103" t="s">
        <v>485</v>
      </c>
      <c r="D65" s="26"/>
      <c r="E65" s="26"/>
      <c r="F65" s="344">
        <f t="shared" si="6"/>
        <v>0</v>
      </c>
      <c r="H65" s="300"/>
      <c r="I65" s="114" t="str">
        <f t="shared" si="7"/>
        <v/>
      </c>
      <c r="K65" s="9"/>
    </row>
    <row r="66" spans="2:12">
      <c r="B66" s="25" t="s">
        <v>486</v>
      </c>
      <c r="C66" s="103" t="s">
        <v>487</v>
      </c>
      <c r="D66" s="26"/>
      <c r="E66" s="26"/>
      <c r="F66" s="344">
        <f t="shared" si="6"/>
        <v>0</v>
      </c>
      <c r="H66" s="300"/>
      <c r="I66" s="114" t="str">
        <f t="shared" si="7"/>
        <v/>
      </c>
      <c r="K66" s="9"/>
    </row>
    <row r="67" spans="2:12">
      <c r="B67" s="25" t="s">
        <v>488</v>
      </c>
      <c r="C67" s="103" t="s">
        <v>489</v>
      </c>
      <c r="D67" s="26"/>
      <c r="E67" s="26"/>
      <c r="F67" s="344">
        <f t="shared" si="6"/>
        <v>0</v>
      </c>
      <c r="H67" s="303"/>
      <c r="I67" s="114" t="str">
        <f t="shared" si="7"/>
        <v/>
      </c>
      <c r="K67" s="9"/>
    </row>
    <row r="68" spans="2:12">
      <c r="B68" s="25" t="s">
        <v>490</v>
      </c>
      <c r="C68" s="103" t="s">
        <v>491</v>
      </c>
      <c r="D68" s="26"/>
      <c r="E68" s="26"/>
      <c r="F68" s="344">
        <f t="shared" si="6"/>
        <v>0</v>
      </c>
      <c r="H68" s="300"/>
      <c r="I68" s="114" t="str">
        <f t="shared" si="7"/>
        <v/>
      </c>
      <c r="K68" s="9"/>
    </row>
    <row r="69" spans="2:12" ht="15.95" thickBot="1">
      <c r="B69" s="109" t="s">
        <v>492</v>
      </c>
      <c r="C69" s="104" t="s">
        <v>493</v>
      </c>
      <c r="D69" s="105"/>
      <c r="E69" s="105"/>
      <c r="F69" s="345">
        <f t="shared" si="6"/>
        <v>0</v>
      </c>
      <c r="H69" s="301"/>
      <c r="I69" s="114" t="str">
        <f t="shared" si="7"/>
        <v/>
      </c>
      <c r="K69" s="9"/>
    </row>
    <row r="70" spans="2:12" s="11" customFormat="1" ht="15.95" thickBot="1">
      <c r="B70" s="8"/>
      <c r="C70" s="8"/>
      <c r="D70" s="8"/>
      <c r="E70" s="8"/>
      <c r="F70" s="8"/>
      <c r="H70" s="353"/>
      <c r="K70" s="9"/>
    </row>
    <row r="71" spans="2:12" s="11" customFormat="1" ht="15.95" thickBot="1">
      <c r="B71" s="761" t="s">
        <v>494</v>
      </c>
      <c r="C71" s="102">
        <v>431</v>
      </c>
      <c r="D71" s="343">
        <f>SUM(D72:D74)</f>
        <v>0</v>
      </c>
      <c r="E71" s="388">
        <f>SUM(E72:E74)</f>
        <v>0</v>
      </c>
      <c r="F71" s="343">
        <f>SUM(F72:F74)</f>
        <v>0</v>
      </c>
      <c r="H71" s="354"/>
      <c r="K71" s="9"/>
    </row>
    <row r="72" spans="2:12" s="11" customFormat="1">
      <c r="B72" s="25" t="s">
        <v>495</v>
      </c>
      <c r="C72" s="103" t="s">
        <v>496</v>
      </c>
      <c r="D72" s="985"/>
      <c r="E72" s="389">
        <f>IFERROR(+D72*'A2.Operating Plan'!$C$36,0)</f>
        <v>0</v>
      </c>
      <c r="F72" s="677">
        <f t="shared" ref="F72:F101" si="8">+D72-E72</f>
        <v>0</v>
      </c>
      <c r="G72" s="8"/>
      <c r="H72" s="300"/>
      <c r="I72" s="82"/>
      <c r="J72" s="82"/>
      <c r="K72" s="693"/>
      <c r="L72" s="82"/>
    </row>
    <row r="73" spans="2:12">
      <c r="B73" s="25" t="s">
        <v>497</v>
      </c>
      <c r="C73" s="103" t="s">
        <v>498</v>
      </c>
      <c r="D73" s="986"/>
      <c r="E73" s="400">
        <f>IFERROR(+D73*'A2.Operating Plan'!$C$36,0)</f>
        <v>0</v>
      </c>
      <c r="F73" s="324">
        <f t="shared" si="8"/>
        <v>0</v>
      </c>
      <c r="G73" s="11"/>
      <c r="H73" s="300"/>
      <c r="K73" s="9"/>
    </row>
    <row r="74" spans="2:12" s="11" customFormat="1" ht="15.95" thickBot="1">
      <c r="B74" s="109" t="s">
        <v>492</v>
      </c>
      <c r="C74" s="104" t="s">
        <v>499</v>
      </c>
      <c r="D74" s="987"/>
      <c r="E74" s="105">
        <f>IFERROR(+D74*'A2.Operating Plan'!$C$36,0)</f>
        <v>0</v>
      </c>
      <c r="F74" s="678">
        <f t="shared" si="8"/>
        <v>0</v>
      </c>
      <c r="G74" s="8"/>
      <c r="H74" s="301"/>
      <c r="K74" s="9"/>
    </row>
    <row r="75" spans="2:12" ht="15.95" thickBot="1">
      <c r="G75" s="11"/>
      <c r="H75" s="353"/>
      <c r="K75" s="9"/>
    </row>
    <row r="76" spans="2:12" s="11" customFormat="1" ht="15.95" thickBot="1">
      <c r="B76" s="761" t="s">
        <v>500</v>
      </c>
      <c r="C76" s="102">
        <v>441</v>
      </c>
      <c r="D76" s="343">
        <f>SUM(D77:D78)</f>
        <v>0</v>
      </c>
      <c r="E76" s="343">
        <f>SUM(E77:E78)</f>
        <v>0</v>
      </c>
      <c r="F76" s="343">
        <f>SUM(F77:F78)</f>
        <v>0</v>
      </c>
      <c r="H76" s="354"/>
      <c r="K76" s="9"/>
    </row>
    <row r="77" spans="2:12" s="11" customFormat="1">
      <c r="B77" s="25" t="s">
        <v>501</v>
      </c>
      <c r="C77" s="103" t="s">
        <v>502</v>
      </c>
      <c r="D77" s="400"/>
      <c r="E77" s="389">
        <f>IFERROR(+D77*'A2.Operating Plan'!$C$36,0)</f>
        <v>0</v>
      </c>
      <c r="F77" s="399">
        <f t="shared" si="8"/>
        <v>0</v>
      </c>
      <c r="G77" s="8"/>
      <c r="H77" s="300"/>
      <c r="K77" s="9"/>
    </row>
    <row r="78" spans="2:12" s="11" customFormat="1" ht="15.95" thickBot="1">
      <c r="B78" s="109" t="s">
        <v>492</v>
      </c>
      <c r="C78" s="104" t="s">
        <v>503</v>
      </c>
      <c r="D78" s="105"/>
      <c r="E78" s="105">
        <f>IFERROR(+D78*'A2.Operating Plan'!$C$36,0)</f>
        <v>0</v>
      </c>
      <c r="F78" s="345">
        <f t="shared" si="8"/>
        <v>0</v>
      </c>
      <c r="G78" s="8"/>
      <c r="H78" s="301"/>
      <c r="K78" s="9"/>
    </row>
    <row r="79" spans="2:12" ht="15.75" customHeight="1" thickBot="1">
      <c r="K79" s="9"/>
    </row>
    <row r="80" spans="2:12" ht="15" customHeight="1" thickBot="1">
      <c r="B80" s="760" t="s">
        <v>504</v>
      </c>
      <c r="C80" s="342">
        <v>451</v>
      </c>
      <c r="D80" s="343">
        <f>SUM(D81:D101)</f>
        <v>0</v>
      </c>
      <c r="E80" s="388">
        <f>SUM(E81:E101)</f>
        <v>0</v>
      </c>
      <c r="F80" s="343">
        <f>SUM(F81:F101)</f>
        <v>0</v>
      </c>
      <c r="H80" s="354"/>
      <c r="K80" s="9"/>
    </row>
    <row r="81" spans="2:11" ht="14.45" customHeight="1">
      <c r="B81" s="25" t="s">
        <v>505</v>
      </c>
      <c r="C81" s="758" t="s">
        <v>506</v>
      </c>
      <c r="D81" s="985"/>
      <c r="E81" s="389">
        <f>IFERROR(+D81*'A2.Operating Plan'!$C$36,0)</f>
        <v>0</v>
      </c>
      <c r="F81" s="677">
        <f t="shared" si="8"/>
        <v>0</v>
      </c>
      <c r="H81" s="300"/>
      <c r="K81" s="9"/>
    </row>
    <row r="82" spans="2:11" ht="14.45" customHeight="1">
      <c r="B82" s="19" t="s">
        <v>507</v>
      </c>
      <c r="C82" s="103" t="s">
        <v>508</v>
      </c>
      <c r="D82" s="986"/>
      <c r="E82" s="26">
        <f>IFERROR(+D82*'A2.Operating Plan'!$C$36,0)</f>
        <v>0</v>
      </c>
      <c r="F82" s="324">
        <f t="shared" si="8"/>
        <v>0</v>
      </c>
      <c r="H82" s="300"/>
      <c r="K82" s="9"/>
    </row>
    <row r="83" spans="2:11" ht="14.45" customHeight="1">
      <c r="B83" s="19" t="s">
        <v>509</v>
      </c>
      <c r="C83" s="103" t="s">
        <v>510</v>
      </c>
      <c r="D83" s="986"/>
      <c r="E83" s="26">
        <f>IFERROR(+D83*'A2.Operating Plan'!$C$36,0)</f>
        <v>0</v>
      </c>
      <c r="F83" s="324">
        <f t="shared" si="8"/>
        <v>0</v>
      </c>
      <c r="H83" s="302"/>
      <c r="K83" s="9"/>
    </row>
    <row r="84" spans="2:11">
      <c r="B84" s="25" t="s">
        <v>511</v>
      </c>
      <c r="C84" s="103" t="s">
        <v>512</v>
      </c>
      <c r="D84" s="986"/>
      <c r="E84" s="26">
        <f>IFERROR(+D84*'A2.Operating Plan'!$C$36,0)</f>
        <v>0</v>
      </c>
      <c r="F84" s="324">
        <f t="shared" si="8"/>
        <v>0</v>
      </c>
      <c r="H84" s="300"/>
      <c r="K84" s="9"/>
    </row>
    <row r="85" spans="2:11">
      <c r="B85" s="25" t="s">
        <v>513</v>
      </c>
      <c r="C85" s="103" t="s">
        <v>514</v>
      </c>
      <c r="D85" s="986"/>
      <c r="E85" s="26">
        <f>IFERROR(+D85*'A2.Operating Plan'!$C$36,0)</f>
        <v>0</v>
      </c>
      <c r="F85" s="324">
        <f>+D85-E85</f>
        <v>0</v>
      </c>
      <c r="H85" s="300"/>
      <c r="K85" s="9"/>
    </row>
    <row r="86" spans="2:11">
      <c r="B86" s="25" t="s">
        <v>515</v>
      </c>
      <c r="C86" s="103" t="s">
        <v>516</v>
      </c>
      <c r="D86" s="986"/>
      <c r="E86" s="26">
        <f>IFERROR(+D86*'A2.Operating Plan'!$C$36,0)</f>
        <v>0</v>
      </c>
      <c r="F86" s="324">
        <f>+D86-E86</f>
        <v>0</v>
      </c>
      <c r="H86" s="300"/>
      <c r="K86" s="9"/>
    </row>
    <row r="87" spans="2:11">
      <c r="B87" s="25" t="s">
        <v>517</v>
      </c>
      <c r="C87" s="103" t="s">
        <v>518</v>
      </c>
      <c r="D87" s="986"/>
      <c r="E87" s="26">
        <f>IFERROR(+D87*'A2.Operating Plan'!$C$36,0)</f>
        <v>0</v>
      </c>
      <c r="F87" s="324">
        <f t="shared" si="8"/>
        <v>0</v>
      </c>
      <c r="H87" s="300"/>
      <c r="K87" s="9"/>
    </row>
    <row r="88" spans="2:11">
      <c r="B88" s="25" t="s">
        <v>519</v>
      </c>
      <c r="C88" s="103" t="s">
        <v>520</v>
      </c>
      <c r="D88" s="986"/>
      <c r="E88" s="26">
        <f>IFERROR(+D88*'A2.Operating Plan'!$C$36,0)</f>
        <v>0</v>
      </c>
      <c r="F88" s="324">
        <f t="shared" si="8"/>
        <v>0</v>
      </c>
      <c r="H88" s="300"/>
      <c r="K88" s="9"/>
    </row>
    <row r="89" spans="2:11">
      <c r="B89" s="19" t="s">
        <v>521</v>
      </c>
      <c r="C89" s="103" t="s">
        <v>522</v>
      </c>
      <c r="D89" s="986"/>
      <c r="E89" s="26">
        <f>IFERROR(+D89*'A2.Operating Plan'!$C$36,0)</f>
        <v>0</v>
      </c>
      <c r="F89" s="324">
        <f t="shared" si="8"/>
        <v>0</v>
      </c>
      <c r="H89" s="300"/>
      <c r="K89" s="9"/>
    </row>
    <row r="90" spans="2:11">
      <c r="B90" s="19" t="s">
        <v>523</v>
      </c>
      <c r="C90" s="103" t="s">
        <v>524</v>
      </c>
      <c r="D90" s="986"/>
      <c r="E90" s="26">
        <f>IFERROR(+D90*'A2.Operating Plan'!$C$36,0)</f>
        <v>0</v>
      </c>
      <c r="F90" s="324">
        <f t="shared" si="8"/>
        <v>0</v>
      </c>
      <c r="H90" s="300"/>
      <c r="K90" s="9"/>
    </row>
    <row r="91" spans="2:11">
      <c r="B91" s="25" t="s">
        <v>525</v>
      </c>
      <c r="C91" s="103" t="s">
        <v>526</v>
      </c>
      <c r="D91" s="986"/>
      <c r="E91" s="26">
        <f>IFERROR(+D91*'A2.Operating Plan'!$C$36,0)</f>
        <v>0</v>
      </c>
      <c r="F91" s="324">
        <f t="shared" si="8"/>
        <v>0</v>
      </c>
      <c r="H91" s="300"/>
      <c r="K91" s="9"/>
    </row>
    <row r="92" spans="2:11">
      <c r="B92" s="25" t="s">
        <v>527</v>
      </c>
      <c r="C92" s="103" t="s">
        <v>528</v>
      </c>
      <c r="D92" s="986"/>
      <c r="E92" s="26">
        <f>IFERROR(+D92*'A2.Operating Plan'!$C$36,0)</f>
        <v>0</v>
      </c>
      <c r="F92" s="324">
        <f t="shared" si="8"/>
        <v>0</v>
      </c>
      <c r="H92" s="300"/>
      <c r="K92" s="9"/>
    </row>
    <row r="93" spans="2:11">
      <c r="B93" s="25" t="s">
        <v>529</v>
      </c>
      <c r="C93" s="103" t="s">
        <v>530</v>
      </c>
      <c r="D93" s="986"/>
      <c r="E93" s="26">
        <f>IFERROR(+D93*'A2.Operating Plan'!$C$36,0)</f>
        <v>0</v>
      </c>
      <c r="F93" s="324">
        <f t="shared" si="8"/>
        <v>0</v>
      </c>
      <c r="G93" s="11"/>
      <c r="H93" s="300"/>
      <c r="K93" s="9"/>
    </row>
    <row r="94" spans="2:11" s="11" customFormat="1">
      <c r="B94" s="25" t="s">
        <v>531</v>
      </c>
      <c r="C94" s="103" t="s">
        <v>532</v>
      </c>
      <c r="D94" s="986"/>
      <c r="E94" s="26">
        <f>IFERROR(+D94*'A2.Operating Plan'!$C$36,0)</f>
        <v>0</v>
      </c>
      <c r="F94" s="324">
        <f t="shared" si="8"/>
        <v>0</v>
      </c>
      <c r="G94" s="8"/>
      <c r="H94" s="300"/>
      <c r="K94" s="9"/>
    </row>
    <row r="95" spans="2:11" s="11" customFormat="1">
      <c r="B95" s="19" t="s">
        <v>533</v>
      </c>
      <c r="C95" s="103" t="s">
        <v>534</v>
      </c>
      <c r="D95" s="986"/>
      <c r="E95" s="26">
        <f>IFERROR(+D95*'A2.Operating Plan'!$C$36,0)</f>
        <v>0</v>
      </c>
      <c r="F95" s="324">
        <f t="shared" si="8"/>
        <v>0</v>
      </c>
      <c r="G95" s="8"/>
      <c r="H95" s="300"/>
      <c r="K95" s="9"/>
    </row>
    <row r="96" spans="2:11">
      <c r="B96" s="25" t="s">
        <v>535</v>
      </c>
      <c r="C96" s="103" t="s">
        <v>536</v>
      </c>
      <c r="D96" s="986"/>
      <c r="E96" s="26">
        <f>IFERROR(+D96*'A2.Operating Plan'!$C$36,0)</f>
        <v>0</v>
      </c>
      <c r="F96" s="324">
        <f t="shared" si="8"/>
        <v>0</v>
      </c>
      <c r="H96" s="300"/>
      <c r="K96" s="9"/>
    </row>
    <row r="97" spans="2:11">
      <c r="B97" s="19" t="s">
        <v>537</v>
      </c>
      <c r="C97" s="103" t="s">
        <v>538</v>
      </c>
      <c r="D97" s="986"/>
      <c r="E97" s="26">
        <f>IFERROR(+D97*'A2.Operating Plan'!$C$36,0)</f>
        <v>0</v>
      </c>
      <c r="F97" s="324">
        <f t="shared" si="8"/>
        <v>0</v>
      </c>
      <c r="H97" s="302"/>
      <c r="K97" s="9"/>
    </row>
    <row r="98" spans="2:11">
      <c r="B98" s="19" t="s">
        <v>539</v>
      </c>
      <c r="C98" s="103" t="s">
        <v>540</v>
      </c>
      <c r="D98" s="986"/>
      <c r="E98" s="26">
        <f>IFERROR(+D98*'A2.Operating Plan'!$C$36,0)</f>
        <v>0</v>
      </c>
      <c r="F98" s="324">
        <f>+D98-E98</f>
        <v>0</v>
      </c>
      <c r="H98" s="300"/>
      <c r="K98" s="9"/>
    </row>
    <row r="99" spans="2:11" s="11" customFormat="1">
      <c r="B99" s="383" t="s">
        <v>492</v>
      </c>
      <c r="C99" s="103" t="s">
        <v>541</v>
      </c>
      <c r="D99" s="986"/>
      <c r="E99" s="26">
        <f>IFERROR(+D99*'A2.Operating Plan'!$C$36,0)</f>
        <v>0</v>
      </c>
      <c r="F99" s="324">
        <f t="shared" si="8"/>
        <v>0</v>
      </c>
      <c r="G99" s="8"/>
      <c r="H99" s="300"/>
      <c r="K99" s="9"/>
    </row>
    <row r="100" spans="2:11" s="11" customFormat="1">
      <c r="B100" s="383" t="s">
        <v>492</v>
      </c>
      <c r="C100" s="103" t="s">
        <v>542</v>
      </c>
      <c r="D100" s="986"/>
      <c r="E100" s="26">
        <f>IFERROR(+D100*'A2.Operating Plan'!$C$36,0)</f>
        <v>0</v>
      </c>
      <c r="F100" s="324">
        <f t="shared" ref="F100" si="9">+D100-E100</f>
        <v>0</v>
      </c>
      <c r="G100" s="8"/>
      <c r="H100" s="300"/>
      <c r="K100" s="9"/>
    </row>
    <row r="101" spans="2:11" ht="15.95" thickBot="1">
      <c r="B101" s="109" t="s">
        <v>492</v>
      </c>
      <c r="C101" s="104" t="s">
        <v>543</v>
      </c>
      <c r="D101" s="987"/>
      <c r="E101" s="105">
        <f>IFERROR(+D101*'A2.Operating Plan'!$C$36,0)</f>
        <v>0</v>
      </c>
      <c r="F101" s="678">
        <f t="shared" si="8"/>
        <v>0</v>
      </c>
      <c r="H101" s="301"/>
      <c r="K101" s="9"/>
    </row>
    <row r="102" spans="2:11" ht="15.95" thickBot="1">
      <c r="G102" s="11"/>
      <c r="H102" s="353"/>
      <c r="K102" s="9"/>
    </row>
    <row r="103" spans="2:11" s="11" customFormat="1" ht="15.95" thickBot="1">
      <c r="B103" s="350" t="s">
        <v>336</v>
      </c>
      <c r="C103" s="750">
        <v>461</v>
      </c>
      <c r="D103" s="388">
        <f>SUM(D104:D110)</f>
        <v>0</v>
      </c>
      <c r="E103" s="388">
        <f>SUM(E104:E110)</f>
        <v>0</v>
      </c>
      <c r="F103" s="751">
        <f>SUM(F104:F110)</f>
        <v>0</v>
      </c>
      <c r="H103" s="354"/>
      <c r="K103" s="9"/>
    </row>
    <row r="104" spans="2:11" s="11" customFormat="1">
      <c r="B104" s="753" t="s">
        <v>544</v>
      </c>
      <c r="C104" s="754" t="s">
        <v>545</v>
      </c>
      <c r="D104" s="389"/>
      <c r="E104" s="389"/>
      <c r="F104" s="755">
        <f>+D104-E104</f>
        <v>0</v>
      </c>
      <c r="G104" s="8"/>
      <c r="H104" s="300"/>
      <c r="I104" s="114" t="str">
        <f t="shared" ref="I104:I106" si="10">IF(AND(ISNUMBER(D104), ISBLANK(E104)), "Error: Missing 0-6 amount", "")</f>
        <v/>
      </c>
      <c r="J104" s="82"/>
      <c r="K104" s="693"/>
    </row>
    <row r="105" spans="2:11" s="11" customFormat="1">
      <c r="B105" s="19" t="s">
        <v>546</v>
      </c>
      <c r="C105" s="675" t="s">
        <v>547</v>
      </c>
      <c r="D105" s="400"/>
      <c r="E105" s="400"/>
      <c r="F105" s="677">
        <f t="shared" ref="F105:F106" si="11">+D105-E105</f>
        <v>0</v>
      </c>
      <c r="G105" s="8"/>
      <c r="H105" s="300"/>
      <c r="I105" s="114" t="str">
        <f t="shared" si="10"/>
        <v/>
      </c>
      <c r="J105" s="82"/>
      <c r="K105" s="693"/>
    </row>
    <row r="106" spans="2:11" s="11" customFormat="1" ht="15.95" thickBot="1">
      <c r="B106" s="356" t="s">
        <v>548</v>
      </c>
      <c r="C106" s="676" t="s">
        <v>549</v>
      </c>
      <c r="D106" s="756"/>
      <c r="E106" s="988"/>
      <c r="F106" s="757">
        <f t="shared" si="11"/>
        <v>0</v>
      </c>
      <c r="G106" s="8"/>
      <c r="H106" s="300"/>
      <c r="I106" s="114" t="str">
        <f t="shared" si="10"/>
        <v/>
      </c>
      <c r="J106" s="82"/>
      <c r="K106" s="693"/>
    </row>
    <row r="107" spans="2:11" s="11" customFormat="1">
      <c r="B107" s="25" t="s">
        <v>550</v>
      </c>
      <c r="C107" s="752" t="s">
        <v>551</v>
      </c>
      <c r="D107" s="985"/>
      <c r="E107" s="389">
        <f>IFERROR(+D107*'A2.Operating Plan'!$C$36,0)</f>
        <v>0</v>
      </c>
      <c r="F107" s="677">
        <f>+D107-E107</f>
        <v>0</v>
      </c>
      <c r="H107" s="300"/>
      <c r="K107" s="9"/>
    </row>
    <row r="108" spans="2:11" s="11" customFormat="1">
      <c r="B108" s="25" t="s">
        <v>552</v>
      </c>
      <c r="C108" s="675" t="s">
        <v>553</v>
      </c>
      <c r="D108" s="986"/>
      <c r="E108" s="26">
        <f>IFERROR(+D108*'A2.Operating Plan'!$C$36,0)</f>
        <v>0</v>
      </c>
      <c r="F108" s="324">
        <f>+D108-E108</f>
        <v>0</v>
      </c>
      <c r="H108" s="302"/>
      <c r="K108" s="9"/>
    </row>
    <row r="109" spans="2:11" s="11" customFormat="1">
      <c r="B109" s="25" t="s">
        <v>554</v>
      </c>
      <c r="C109" s="675" t="s">
        <v>555</v>
      </c>
      <c r="D109" s="986"/>
      <c r="E109" s="26">
        <f>IFERROR(+D109*'A2.Operating Plan'!$C$36,0)</f>
        <v>0</v>
      </c>
      <c r="F109" s="324">
        <f>+D109-E109</f>
        <v>0</v>
      </c>
      <c r="H109" s="300"/>
      <c r="K109" s="9"/>
    </row>
    <row r="110" spans="2:11" s="11" customFormat="1" ht="15.95" thickBot="1">
      <c r="B110" s="109" t="s">
        <v>492</v>
      </c>
      <c r="C110" s="676" t="s">
        <v>556</v>
      </c>
      <c r="D110" s="987"/>
      <c r="E110" s="105">
        <f>IFERROR(+D110*'A2.Operating Plan'!$C$36,0)</f>
        <v>0</v>
      </c>
      <c r="F110" s="678">
        <f>+D110-E110</f>
        <v>0</v>
      </c>
      <c r="H110" s="301"/>
      <c r="K110" s="9"/>
    </row>
    <row r="111" spans="2:11" hidden="1">
      <c r="C111" s="11"/>
      <c r="D111" s="11"/>
      <c r="E111" s="355"/>
      <c r="F111" s="355"/>
      <c r="G111" s="11"/>
      <c r="H111" s="9"/>
    </row>
    <row r="112" spans="2:11" ht="15.95" hidden="1" thickBot="1">
      <c r="B112" s="350" t="s">
        <v>557</v>
      </c>
      <c r="C112" s="102">
        <v>465</v>
      </c>
      <c r="D112" s="343">
        <f>SUM(D113)</f>
        <v>0</v>
      </c>
      <c r="E112" s="343">
        <f>SUM(E113)</f>
        <v>0</v>
      </c>
      <c r="F112" s="343">
        <f>SUM(F113)</f>
        <v>0</v>
      </c>
    </row>
    <row r="113" spans="2:11" ht="15.95" hidden="1" thickBot="1">
      <c r="B113" s="356" t="s">
        <v>558</v>
      </c>
      <c r="C113" s="357" t="s">
        <v>559</v>
      </c>
      <c r="D113" s="401">
        <f>'A3. Peel Region Grants'!C114-'A3. Peel Region Grants'!C75-'A3. Peel Region Grants'!C76</f>
        <v>0</v>
      </c>
      <c r="E113" s="402">
        <f>'A3. Peel Region Grants'!C74-'A3. Peel Region Grants'!C75-'A3. Peel Region Grants'!C76-'A3. Peel Region Grants'!C77</f>
        <v>0</v>
      </c>
      <c r="F113" s="403">
        <f>D113-E113</f>
        <v>0</v>
      </c>
      <c r="H113" s="406" t="s">
        <v>415</v>
      </c>
      <c r="I113" s="13"/>
      <c r="J113" s="13"/>
      <c r="K113" s="13"/>
    </row>
    <row r="114" spans="2:11" ht="15.95" thickBot="1">
      <c r="C114" s="11"/>
      <c r="D114" s="11"/>
      <c r="E114" s="355"/>
      <c r="F114" s="355"/>
      <c r="G114" s="11"/>
      <c r="H114" s="9"/>
    </row>
    <row r="115" spans="2:11" s="11" customFormat="1" ht="15.95" thickBot="1">
      <c r="B115" s="759" t="s">
        <v>560</v>
      </c>
      <c r="C115" s="342">
        <v>471</v>
      </c>
      <c r="D115" s="343">
        <f>SUM(D116:D118)</f>
        <v>0</v>
      </c>
      <c r="E115" s="343">
        <f>SUM(E116:E118)</f>
        <v>0</v>
      </c>
      <c r="F115" s="343"/>
      <c r="H115" s="8"/>
    </row>
    <row r="116" spans="2:11" s="11" customFormat="1">
      <c r="B116" s="99" t="s">
        <v>561</v>
      </c>
      <c r="C116" s="758" t="s">
        <v>562</v>
      </c>
      <c r="D116" s="400"/>
      <c r="E116" s="404">
        <f>D116</f>
        <v>0</v>
      </c>
      <c r="F116" s="405"/>
      <c r="H116" s="82"/>
    </row>
    <row r="117" spans="2:11" s="11" customFormat="1">
      <c r="B117" s="99" t="s">
        <v>561</v>
      </c>
      <c r="C117" s="103" t="s">
        <v>563</v>
      </c>
      <c r="D117" s="26"/>
      <c r="E117" s="327">
        <f>D117</f>
        <v>0</v>
      </c>
      <c r="F117" s="325"/>
      <c r="H117" s="82"/>
    </row>
    <row r="118" spans="2:11" s="11" customFormat="1" ht="15.95" thickBot="1">
      <c r="B118" s="111" t="s">
        <v>561</v>
      </c>
      <c r="C118" s="104" t="s">
        <v>564</v>
      </c>
      <c r="D118" s="105"/>
      <c r="E118" s="358">
        <f>D118</f>
        <v>0</v>
      </c>
      <c r="F118" s="359"/>
      <c r="H118" s="82"/>
    </row>
    <row r="119" spans="2:11" s="11" customFormat="1" ht="15.95" thickBot="1">
      <c r="B119" s="8"/>
      <c r="C119" s="8"/>
      <c r="D119" s="8"/>
      <c r="E119" s="8"/>
      <c r="F119" s="8"/>
      <c r="H119" s="82"/>
    </row>
    <row r="120" spans="2:11" s="11" customFormat="1" ht="15.95" thickBot="1">
      <c r="B120" s="759" t="s">
        <v>565</v>
      </c>
      <c r="C120" s="342">
        <v>481</v>
      </c>
      <c r="D120" s="343">
        <f>SUM(D121:D123)</f>
        <v>0</v>
      </c>
      <c r="E120" s="343">
        <f>SUM(E121:E123)</f>
        <v>0</v>
      </c>
      <c r="F120" s="343"/>
      <c r="H120" s="82"/>
    </row>
    <row r="121" spans="2:11" s="11" customFormat="1">
      <c r="B121" s="99" t="s">
        <v>561</v>
      </c>
      <c r="C121" s="758" t="s">
        <v>566</v>
      </c>
      <c r="D121" s="400"/>
      <c r="E121" s="404">
        <f>D121</f>
        <v>0</v>
      </c>
      <c r="F121" s="405"/>
      <c r="H121" s="82"/>
    </row>
    <row r="122" spans="2:11" s="11" customFormat="1">
      <c r="B122" s="99" t="s">
        <v>561</v>
      </c>
      <c r="C122" s="103" t="s">
        <v>567</v>
      </c>
      <c r="D122" s="26"/>
      <c r="E122" s="327">
        <f>D122</f>
        <v>0</v>
      </c>
      <c r="F122" s="325"/>
      <c r="H122" s="82"/>
    </row>
    <row r="123" spans="2:11" s="11" customFormat="1" ht="15.95" thickBot="1">
      <c r="B123" s="111" t="s">
        <v>561</v>
      </c>
      <c r="C123" s="104" t="s">
        <v>568</v>
      </c>
      <c r="D123" s="105"/>
      <c r="E123" s="358">
        <f>D123</f>
        <v>0</v>
      </c>
      <c r="F123" s="359"/>
      <c r="H123" s="82"/>
    </row>
    <row r="124" spans="2:11" s="11" customFormat="1" ht="15.95" thickBot="1">
      <c r="B124" s="8"/>
      <c r="C124" s="8"/>
      <c r="D124" s="8"/>
      <c r="E124" s="8"/>
      <c r="F124" s="8"/>
    </row>
    <row r="125" spans="2:11" ht="15.95" thickBot="1">
      <c r="B125" s="360" t="s">
        <v>569</v>
      </c>
      <c r="C125" s="361">
        <v>490</v>
      </c>
      <c r="D125" s="362">
        <f>+D80+D71+D62+D35+D76+D115+D120+D112+D103</f>
        <v>0</v>
      </c>
      <c r="E125" s="362">
        <f>+E80+E71+E62+E35+E76+E115+E120+E112+E103</f>
        <v>0</v>
      </c>
      <c r="F125" s="363">
        <f>+F80+F71+F62+F35+F76+F112+F103</f>
        <v>0</v>
      </c>
      <c r="H125" s="11"/>
    </row>
    <row r="126" spans="2:11" ht="15.95" thickBot="1"/>
    <row r="127" spans="2:11" ht="15.95" thickBot="1">
      <c r="B127" s="360" t="s">
        <v>570</v>
      </c>
      <c r="C127" s="364" t="s">
        <v>369</v>
      </c>
      <c r="D127" s="365">
        <f>+D30-D125</f>
        <v>0</v>
      </c>
      <c r="E127" s="365">
        <f>+E30-E125</f>
        <v>0</v>
      </c>
      <c r="F127" s="366">
        <f>+F30-F125</f>
        <v>0</v>
      </c>
      <c r="H127" s="11"/>
    </row>
    <row r="128" spans="2:11">
      <c r="B128" s="367"/>
      <c r="D128" s="368"/>
      <c r="E128" s="368"/>
      <c r="F128" s="368"/>
      <c r="H128" s="11"/>
    </row>
    <row r="129" spans="2:13">
      <c r="H129" s="11"/>
    </row>
    <row r="130" spans="2:13">
      <c r="H130" s="11"/>
    </row>
    <row r="131" spans="2:13">
      <c r="E131" s="369"/>
    </row>
    <row r="132" spans="2:13">
      <c r="D132" s="9"/>
      <c r="E132" s="9"/>
    </row>
    <row r="133" spans="2:13">
      <c r="B133" s="384" t="s">
        <v>571</v>
      </c>
      <c r="D133" s="370"/>
      <c r="E133" s="17"/>
    </row>
    <row r="134" spans="2:13">
      <c r="B134" s="384" t="s">
        <v>572</v>
      </c>
      <c r="E134" s="371"/>
      <c r="F134" s="13"/>
      <c r="G134" s="13"/>
      <c r="H134" s="13"/>
    </row>
    <row r="135" spans="2:13">
      <c r="B135" s="384" t="s">
        <v>573</v>
      </c>
      <c r="F135" s="13"/>
      <c r="G135" s="13"/>
      <c r="H135" s="13"/>
    </row>
    <row r="136" spans="2:13" ht="30">
      <c r="B136" s="384" t="s">
        <v>574</v>
      </c>
      <c r="F136" s="13"/>
      <c r="G136" s="372"/>
      <c r="H136" s="373"/>
      <c r="I136" s="372"/>
      <c r="J136" s="372"/>
      <c r="K136" s="374"/>
      <c r="L136" s="13"/>
      <c r="M136" s="13"/>
    </row>
    <row r="137" spans="2:13" ht="29.45">
      <c r="B137" s="384" t="s">
        <v>575</v>
      </c>
      <c r="F137" s="13"/>
      <c r="G137" s="375"/>
      <c r="H137" s="376"/>
      <c r="I137" s="375"/>
      <c r="J137" s="375"/>
      <c r="K137" s="377"/>
      <c r="L137" s="13"/>
      <c r="M137" s="13"/>
    </row>
    <row r="138" spans="2:13" ht="29.45">
      <c r="B138" s="384"/>
      <c r="F138" s="13"/>
      <c r="G138" s="375"/>
      <c r="H138" s="376"/>
      <c r="I138" s="375"/>
      <c r="J138" s="375"/>
      <c r="K138" s="377"/>
      <c r="L138" s="13"/>
      <c r="M138" s="13"/>
    </row>
    <row r="139" spans="2:13" ht="29.45">
      <c r="B139" s="384" t="s">
        <v>576</v>
      </c>
      <c r="F139" s="13"/>
      <c r="G139" s="375"/>
      <c r="H139" s="376"/>
      <c r="I139" s="375"/>
      <c r="J139" s="375"/>
      <c r="K139" s="377"/>
      <c r="L139" s="13"/>
      <c r="M139" s="13"/>
    </row>
    <row r="140" spans="2:13" ht="29.45">
      <c r="B140" s="384" t="s">
        <v>577</v>
      </c>
      <c r="F140" s="13"/>
      <c r="G140" s="375"/>
      <c r="H140" s="376"/>
      <c r="I140" s="375"/>
      <c r="J140" s="375"/>
      <c r="K140" s="377"/>
      <c r="L140" s="13"/>
      <c r="M140" s="13"/>
    </row>
    <row r="141" spans="2:13" ht="29.45">
      <c r="B141" s="384" t="s">
        <v>578</v>
      </c>
      <c r="F141" s="13"/>
      <c r="G141" s="375"/>
      <c r="H141" s="376"/>
      <c r="I141" s="375"/>
      <c r="J141" s="375"/>
      <c r="K141" s="377"/>
      <c r="L141" s="13"/>
      <c r="M141" s="13"/>
    </row>
    <row r="142" spans="2:13" ht="29.45">
      <c r="B142" s="735"/>
      <c r="F142" s="13"/>
      <c r="G142" s="375"/>
      <c r="H142" s="376"/>
      <c r="I142" s="375"/>
      <c r="J142" s="375"/>
      <c r="K142" s="377"/>
      <c r="L142" s="13"/>
      <c r="M142" s="13"/>
    </row>
    <row r="143" spans="2:13" ht="29.45">
      <c r="B143" s="735" t="s">
        <v>579</v>
      </c>
      <c r="F143" s="13"/>
      <c r="G143" s="375"/>
      <c r="H143" s="376"/>
      <c r="I143" s="375"/>
      <c r="J143" s="375"/>
      <c r="K143" s="377"/>
      <c r="L143" s="13"/>
      <c r="M143" s="13"/>
    </row>
    <row r="144" spans="2:13" ht="29.45">
      <c r="B144" s="735" t="s">
        <v>580</v>
      </c>
      <c r="F144" s="13"/>
      <c r="G144" s="375"/>
      <c r="H144" s="376"/>
      <c r="I144" s="375"/>
      <c r="J144" s="375"/>
      <c r="K144" s="377"/>
      <c r="L144" s="13"/>
      <c r="M144" s="13"/>
    </row>
    <row r="145" spans="2:13" ht="29.45">
      <c r="B145" s="735" t="s">
        <v>581</v>
      </c>
      <c r="F145" s="13"/>
      <c r="G145" s="375"/>
      <c r="H145" s="376"/>
      <c r="I145" s="375"/>
      <c r="J145" s="375"/>
      <c r="K145" s="377"/>
      <c r="L145" s="13"/>
      <c r="M145" s="13"/>
    </row>
    <row r="146" spans="2:13" ht="29.45">
      <c r="B146" s="735" t="s">
        <v>582</v>
      </c>
      <c r="F146" s="13"/>
      <c r="G146" s="375"/>
      <c r="H146" s="376"/>
      <c r="I146" s="375"/>
      <c r="J146" s="375"/>
      <c r="K146" s="377"/>
      <c r="L146" s="13"/>
      <c r="M146" s="13"/>
    </row>
    <row r="147" spans="2:13" ht="29.45">
      <c r="B147" s="735" t="s">
        <v>575</v>
      </c>
      <c r="F147" s="13"/>
      <c r="G147" s="375"/>
      <c r="H147" s="376"/>
      <c r="I147" s="375"/>
      <c r="J147" s="375"/>
      <c r="K147" s="377"/>
      <c r="L147" s="13"/>
      <c r="M147" s="13"/>
    </row>
    <row r="148" spans="2:13" ht="29.45">
      <c r="B148" s="735" t="s">
        <v>94</v>
      </c>
      <c r="F148" s="13"/>
      <c r="G148" s="375"/>
      <c r="H148" s="376"/>
      <c r="I148" s="375"/>
      <c r="J148" s="375"/>
      <c r="K148" s="377"/>
      <c r="L148" s="13"/>
      <c r="M148" s="13"/>
    </row>
    <row r="149" spans="2:13" ht="29.45">
      <c r="B149" s="735" t="s">
        <v>78</v>
      </c>
      <c r="F149" s="13"/>
      <c r="G149" s="375"/>
      <c r="H149" s="376"/>
      <c r="I149" s="375"/>
      <c r="J149" s="375"/>
      <c r="K149" s="377"/>
      <c r="L149" s="13"/>
      <c r="M149" s="13"/>
    </row>
    <row r="150" spans="2:13" ht="29.45">
      <c r="B150" s="735"/>
      <c r="F150" s="13"/>
      <c r="G150" s="375"/>
      <c r="H150" s="376"/>
      <c r="I150" s="375"/>
      <c r="J150" s="375"/>
      <c r="K150" s="377"/>
      <c r="L150" s="13"/>
      <c r="M150" s="13"/>
    </row>
    <row r="151" spans="2:13" ht="29.45">
      <c r="B151" s="735"/>
      <c r="F151" s="13"/>
      <c r="G151" s="375"/>
      <c r="H151" s="376"/>
      <c r="I151" s="375"/>
      <c r="J151" s="375"/>
      <c r="K151" s="377"/>
      <c r="L151" s="13"/>
      <c r="M151" s="13"/>
    </row>
    <row r="152" spans="2:13" ht="29.45">
      <c r="B152" s="735"/>
      <c r="F152" s="13"/>
      <c r="G152" s="375"/>
      <c r="H152" s="376"/>
      <c r="I152" s="375"/>
      <c r="J152" s="375"/>
      <c r="K152" s="377"/>
      <c r="L152" s="13"/>
      <c r="M152" s="13"/>
    </row>
    <row r="153" spans="2:13" ht="29.45">
      <c r="F153" s="13"/>
      <c r="G153" s="375"/>
      <c r="H153" s="376"/>
      <c r="I153" s="375"/>
      <c r="J153" s="375"/>
      <c r="K153" s="377"/>
      <c r="L153" s="13"/>
      <c r="M153" s="13"/>
    </row>
    <row r="154" spans="2:13" ht="29.45">
      <c r="F154" s="13"/>
      <c r="G154" s="375"/>
      <c r="H154" s="376"/>
      <c r="I154" s="375"/>
      <c r="J154" s="375"/>
      <c r="K154" s="377"/>
      <c r="L154" s="13"/>
      <c r="M154" s="13"/>
    </row>
    <row r="155" spans="2:13" ht="29.45">
      <c r="F155" s="13"/>
      <c r="G155" s="375"/>
      <c r="H155" s="376"/>
      <c r="I155" s="375"/>
      <c r="J155" s="375"/>
      <c r="K155" s="377"/>
      <c r="L155" s="13"/>
      <c r="M155" s="13"/>
    </row>
    <row r="156" spans="2:13" ht="29.45">
      <c r="F156" s="13"/>
      <c r="G156" s="375"/>
      <c r="H156" s="376"/>
      <c r="I156" s="375"/>
      <c r="J156" s="375"/>
      <c r="K156" s="378"/>
      <c r="L156" s="13"/>
      <c r="M156" s="13"/>
    </row>
    <row r="157" spans="2:13">
      <c r="F157" s="13"/>
      <c r="G157" s="13"/>
      <c r="H157" s="13"/>
      <c r="I157" s="13"/>
      <c r="J157" s="13"/>
      <c r="K157" s="13"/>
      <c r="L157" s="13"/>
      <c r="M157" s="13"/>
    </row>
    <row r="158" spans="2:13">
      <c r="F158" s="13"/>
      <c r="G158" s="13"/>
      <c r="H158" s="13"/>
      <c r="I158" s="13"/>
      <c r="J158" s="13"/>
      <c r="K158" s="13"/>
      <c r="L158" s="13"/>
      <c r="M158" s="13"/>
    </row>
    <row r="159" spans="2:13">
      <c r="F159" s="13"/>
      <c r="G159" s="13"/>
      <c r="H159" s="13"/>
      <c r="I159" s="13"/>
      <c r="J159" s="13"/>
      <c r="K159" s="13"/>
      <c r="L159" s="13"/>
      <c r="M159" s="13"/>
    </row>
    <row r="160" spans="2:13">
      <c r="F160" s="13"/>
      <c r="G160" s="13"/>
      <c r="H160" s="13"/>
    </row>
    <row r="161" spans="4:8">
      <c r="F161" s="13"/>
      <c r="G161" s="13"/>
      <c r="H161" s="13"/>
    </row>
    <row r="162" spans="4:8">
      <c r="F162" s="13"/>
      <c r="G162" s="13"/>
      <c r="H162" s="13"/>
    </row>
    <row r="163" spans="4:8">
      <c r="F163" s="13"/>
      <c r="G163" s="13"/>
      <c r="H163" s="13"/>
    </row>
    <row r="164" spans="4:8">
      <c r="F164" s="13"/>
      <c r="G164" s="13"/>
      <c r="H164" s="13"/>
    </row>
    <row r="165" spans="4:8">
      <c r="F165" s="13"/>
      <c r="G165" s="13"/>
      <c r="H165" s="13"/>
    </row>
    <row r="166" spans="4:8">
      <c r="F166" s="13"/>
      <c r="G166" s="13"/>
      <c r="H166" s="13"/>
    </row>
    <row r="167" spans="4:8">
      <c r="F167" s="13"/>
      <c r="G167" s="13"/>
      <c r="H167" s="13"/>
    </row>
    <row r="168" spans="4:8">
      <c r="D168" s="379"/>
      <c r="E168" s="379"/>
      <c r="F168" s="380"/>
      <c r="G168" s="13"/>
      <c r="H168" s="13"/>
    </row>
    <row r="169" spans="4:8">
      <c r="F169" s="13"/>
      <c r="G169" s="13"/>
      <c r="H169" s="13"/>
    </row>
    <row r="170" spans="4:8">
      <c r="F170" s="13"/>
      <c r="G170" s="13"/>
      <c r="H170" s="13"/>
    </row>
    <row r="171" spans="4:8">
      <c r="F171" s="13"/>
      <c r="G171" s="13"/>
      <c r="H171" s="13"/>
    </row>
    <row r="172" spans="4:8">
      <c r="F172" s="13"/>
      <c r="G172" s="13"/>
      <c r="H172" s="13"/>
    </row>
    <row r="173" spans="4:8">
      <c r="F173" s="13"/>
      <c r="G173" s="13"/>
      <c r="H173" s="13"/>
    </row>
    <row r="174" spans="4:8">
      <c r="F174" s="13"/>
      <c r="G174" s="13"/>
      <c r="H174" s="13"/>
    </row>
    <row r="175" spans="4:8">
      <c r="F175" s="13"/>
      <c r="G175" s="13"/>
      <c r="H175" s="13"/>
    </row>
    <row r="176" spans="4:8">
      <c r="F176" s="13"/>
      <c r="G176" s="13"/>
      <c r="H176" s="13"/>
    </row>
    <row r="177" spans="6:8">
      <c r="F177" s="13"/>
      <c r="G177" s="13"/>
      <c r="H177" s="13"/>
    </row>
    <row r="178" spans="6:8">
      <c r="F178" s="13"/>
      <c r="G178" s="13"/>
      <c r="H178" s="13"/>
    </row>
    <row r="179" spans="6:8">
      <c r="F179" s="13"/>
      <c r="G179" s="13"/>
      <c r="H179" s="13"/>
    </row>
    <row r="180" spans="6:8">
      <c r="F180" s="13"/>
      <c r="G180" s="13"/>
      <c r="H180" s="13"/>
    </row>
    <row r="181" spans="6:8">
      <c r="F181" s="13"/>
      <c r="G181" s="13"/>
      <c r="H181" s="13"/>
    </row>
    <row r="182" spans="6:8">
      <c r="F182" s="13"/>
      <c r="G182" s="13"/>
      <c r="H182" s="13"/>
    </row>
    <row r="183" spans="6:8">
      <c r="F183" s="13"/>
      <c r="G183" s="13"/>
      <c r="H183" s="13"/>
    </row>
    <row r="184" spans="6:8">
      <c r="F184" s="13"/>
      <c r="G184" s="13"/>
      <c r="H184" s="13"/>
    </row>
    <row r="185" spans="6:8">
      <c r="F185" s="13"/>
      <c r="G185" s="13"/>
      <c r="H185" s="13"/>
    </row>
    <row r="186" spans="6:8">
      <c r="F186" s="13"/>
      <c r="G186" s="13"/>
      <c r="H186" s="13"/>
    </row>
    <row r="187" spans="6:8">
      <c r="F187" s="13"/>
      <c r="G187" s="13"/>
      <c r="H187" s="13"/>
    </row>
    <row r="188" spans="6:8">
      <c r="F188" s="13"/>
      <c r="G188" s="13"/>
      <c r="H188" s="13"/>
    </row>
    <row r="189" spans="6:8">
      <c r="F189" s="13"/>
      <c r="G189" s="13"/>
      <c r="H189" s="13"/>
    </row>
    <row r="190" spans="6:8">
      <c r="F190" s="13"/>
      <c r="G190" s="13"/>
      <c r="H190" s="13"/>
    </row>
    <row r="191" spans="6:8">
      <c r="F191" s="13"/>
      <c r="G191" s="13"/>
      <c r="H191" s="13"/>
    </row>
    <row r="192" spans="6:8">
      <c r="F192" s="13"/>
      <c r="G192" s="13"/>
      <c r="H192" s="13"/>
    </row>
    <row r="193" spans="6:8">
      <c r="F193" s="13"/>
      <c r="G193" s="13"/>
      <c r="H193" s="13"/>
    </row>
    <row r="194" spans="6:8">
      <c r="F194" s="13"/>
      <c r="G194" s="13"/>
      <c r="H194" s="13"/>
    </row>
    <row r="195" spans="6:8">
      <c r="F195" s="13"/>
      <c r="G195" s="13"/>
      <c r="H195" s="13"/>
    </row>
    <row r="196" spans="6:8">
      <c r="F196" s="13"/>
      <c r="G196" s="13"/>
      <c r="H196" s="13"/>
    </row>
  </sheetData>
  <sheetProtection algorithmName="SHA-512" hashValue="hg+++s8Yh/tzvSynnMCJjsFq4PJzXGnjlk1d2GOSLH2My3KfTOYnWXeukcNml8NKvQvrS6b3XO5mttgz2G8BCQ==" saltValue="rLmJO44dOv/H47KM56vh+w==" spinCount="100000" sheet="1" selectLockedCells="1"/>
  <protectedRanges>
    <protectedRange sqref="B78 B74 B69 B60 F79 D118 F72:F75 D111:F111 D123:D124 F121:F123 E34:F34 E124:F124 F116:F119 D110 B110:B111 F24:F29 B99:B101 F81:F102 D63:F69 D37:F60 F104:F110 F18:F22 D72:E74 D77:F78 D81:E101 E107:E110" name="allow"/>
    <protectedRange sqref="B28:B29" name="allow_1"/>
    <protectedRange sqref="D18:E19" name="allow_5"/>
    <protectedRange sqref="D28:E29 D24:D26 E24:E27 F23 D20:E23" name="allow_5_1"/>
  </protectedRanges>
  <mergeCells count="5">
    <mergeCell ref="B1:F1"/>
    <mergeCell ref="B2:F2"/>
    <mergeCell ref="B3:G3"/>
    <mergeCell ref="H34:H35"/>
    <mergeCell ref="E15:F15"/>
  </mergeCells>
  <conditionalFormatting sqref="F7:F14 E15">
    <cfRule type="cellIs" dxfId="32" priority="3" operator="notEqual">
      <formula>""</formula>
    </cfRule>
  </conditionalFormatting>
  <conditionalFormatting sqref="G18">
    <cfRule type="expression" priority="11">
      <formula>"if($D$17&gt;1 and $E$17 = 0,""red"",blue"")"</formula>
    </cfRule>
  </conditionalFormatting>
  <conditionalFormatting sqref="G38:G44 G46:G52 G54:G60">
    <cfRule type="expression" dxfId="31" priority="6">
      <formula>AND(ISNUMBER(D38), E38="")</formula>
    </cfRule>
  </conditionalFormatting>
  <conditionalFormatting sqref="G63:G69">
    <cfRule type="expression" dxfId="30" priority="5">
      <formula>AND(ISNUMBER(D63), E63="")</formula>
    </cfRule>
  </conditionalFormatting>
  <conditionalFormatting sqref="G104:G106">
    <cfRule type="expression" dxfId="29" priority="1">
      <formula>AND(ISNUMBER(D104), E104="")</formula>
    </cfRule>
  </conditionalFormatting>
  <conditionalFormatting sqref="H13:H15">
    <cfRule type="cellIs" dxfId="28" priority="2" operator="notEqual">
      <formula>""</formula>
    </cfRule>
  </conditionalFormatting>
  <dataValidations disablePrompts="1" count="6">
    <dataValidation type="decimal" allowBlank="1" showInputMessage="1" showErrorMessage="1" sqref="F54:F60 F38:F44 F46:F52" xr:uid="{960B4D67-9061-4248-B08C-F1A700A500EF}">
      <formula1>0</formula1>
      <formula2>1000000000000000000</formula2>
    </dataValidation>
    <dataValidation type="whole" allowBlank="1" showInputMessage="1" showErrorMessage="1" error="Must be a number between 0 and 365" prompt="For example, if the centre was open from Monday to Friday, from January to December, and closed on statutory holidays (10 days), then enter 251 days. " sqref="F11" xr:uid="{2EBE62D0-EFAC-4555-81E7-F9E5FCD7B349}">
      <formula1>0</formula1>
      <formula2>365</formula2>
    </dataValidation>
    <dataValidation type="list" allowBlank="1" showInputMessage="1" showErrorMessage="1" sqref="E15" xr:uid="{6A3B147E-92F2-4715-A4EE-06C841DE7554}">
      <formula1>$B$133:$B$137</formula1>
    </dataValidation>
    <dataValidation type="list" allowBlank="1" showInputMessage="1" showErrorMessage="1" sqref="F12" xr:uid="{0FA27912-B361-4A2F-BA9F-A2E8022CEFD2}">
      <formula1>$B$139:$B$141</formula1>
    </dataValidation>
    <dataValidation type="list" allowBlank="1" showInputMessage="1" showErrorMessage="1" sqref="F14" xr:uid="{E2BE95B9-259D-4BD1-80C0-3F8395DC3308}">
      <formula1>$B$148:$B$149</formula1>
    </dataValidation>
    <dataValidation type="list" allowBlank="1" showInputMessage="1" showErrorMessage="1" sqref="F13" xr:uid="{3671E165-8E1C-4791-9251-DBD0C5ABD4F7}">
      <formula1>$B$143:$B$147</formula1>
    </dataValidation>
  </dataValidations>
  <pageMargins left="0.7" right="0.7" top="0.75" bottom="0.75" header="0.3" footer="0.3"/>
  <pageSetup scale="5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3FD58-9C32-45F1-8DE1-9A4742F83DDB}">
  <sheetPr>
    <tabColor theme="4" tint="0.59999389629810485"/>
  </sheetPr>
  <dimension ref="B1:DN124"/>
  <sheetViews>
    <sheetView showGridLines="0" zoomScale="85" zoomScaleNormal="85" workbookViewId="0">
      <selection activeCell="B2" sqref="B2"/>
    </sheetView>
  </sheetViews>
  <sheetFormatPr defaultColWidth="8.85546875" defaultRowHeight="14.45" outlineLevelRow="1"/>
  <cols>
    <col min="1" max="1" width="3.85546875" customWidth="1"/>
    <col min="2" max="2" width="58.28515625" customWidth="1"/>
    <col min="3" max="3" width="34.42578125" customWidth="1"/>
    <col min="4" max="4" width="26.85546875" customWidth="1"/>
    <col min="5" max="5" width="29.42578125" style="2" customWidth="1"/>
    <col min="6" max="6" width="18.5703125" customWidth="1"/>
    <col min="7" max="7" width="14.28515625" customWidth="1"/>
    <col min="8" max="8" width="26.140625" customWidth="1"/>
    <col min="9" max="115" width="18.5703125" customWidth="1"/>
  </cols>
  <sheetData>
    <row r="1" spans="2:9" ht="26.45" thickBot="1">
      <c r="B1" s="1148" t="s">
        <v>583</v>
      </c>
      <c r="C1" s="1149"/>
      <c r="D1" s="1149"/>
      <c r="E1" s="1150"/>
      <c r="F1" s="108" t="s">
        <v>1</v>
      </c>
      <c r="G1" s="107" t="str">
        <f>IF('A1. Identification'!$D$13=0, " ",'A1. Identification'!$D$13)</f>
        <v xml:space="preserve"> </v>
      </c>
      <c r="H1" s="83"/>
      <c r="I1" s="85"/>
    </row>
    <row r="2" spans="2:9" ht="18" customHeight="1">
      <c r="B2" s="50"/>
      <c r="C2" s="50"/>
      <c r="F2" s="106" t="s">
        <v>3</v>
      </c>
      <c r="G2" s="107" t="str">
        <f>'A5. Operations'!L2</f>
        <v>Please enter Ministry licence number on tab A6 row 7</v>
      </c>
    </row>
    <row r="3" spans="2:9" ht="23.45">
      <c r="B3" s="1151" t="s">
        <v>584</v>
      </c>
      <c r="C3" s="1152"/>
      <c r="D3" s="1152"/>
      <c r="E3" s="1152"/>
      <c r="H3" s="84"/>
      <c r="I3" s="86"/>
    </row>
    <row r="4" spans="2:9" ht="24" thickBot="1">
      <c r="B4" s="1153" t="str">
        <f>IF('A1. Identification'!D7=0, "Financial Annual Information Return (FAIR) and 2025 CWELCC Reconciliation for LHCC (Peel Overseeing SSM)",'A1. Identification'!D7)</f>
        <v>Financial Annual Information Return (FAIR) and 2025 CWELCC Reconciliation for LHCC (Peel Overseeing SSM)</v>
      </c>
      <c r="C4" s="1154"/>
      <c r="D4" s="1154"/>
      <c r="E4" s="1154"/>
      <c r="F4" s="84"/>
      <c r="G4" s="86"/>
    </row>
    <row r="5" spans="2:9" ht="18" customHeight="1" thickBot="1">
      <c r="B5" s="50"/>
      <c r="C5" s="50"/>
    </row>
    <row r="6" spans="2:9" s="407" customFormat="1" ht="24" customHeight="1" thickBot="1">
      <c r="B6" s="1157" t="s">
        <v>585</v>
      </c>
      <c r="C6" s="1158"/>
      <c r="D6" s="1158"/>
      <c r="E6" s="1158"/>
      <c r="F6"/>
      <c r="G6"/>
    </row>
    <row r="7" spans="2:9" s="409" customFormat="1" ht="24" customHeight="1" thickBot="1">
      <c r="B7" s="408"/>
      <c r="C7" s="408"/>
      <c r="D7" s="408"/>
      <c r="E7" s="408"/>
      <c r="F7" s="2"/>
      <c r="G7" s="2"/>
    </row>
    <row r="8" spans="2:9" s="409" customFormat="1" ht="24" customHeight="1" thickBot="1">
      <c r="B8" s="1155" t="s">
        <v>586</v>
      </c>
      <c r="C8" s="1156"/>
      <c r="D8" s="410" t="s">
        <v>587</v>
      </c>
      <c r="E8" s="408"/>
      <c r="F8"/>
      <c r="G8" s="407"/>
      <c r="H8" s="407"/>
    </row>
    <row r="9" spans="2:9" s="409" customFormat="1" ht="18.75" customHeight="1">
      <c r="B9" s="1180" t="s">
        <v>113</v>
      </c>
      <c r="C9" s="1180"/>
      <c r="D9" s="411">
        <f>'A2.Operating Plan'!D17</f>
        <v>0</v>
      </c>
      <c r="F9" s="407"/>
      <c r="G9" s="407"/>
      <c r="H9" s="407"/>
    </row>
    <row r="10" spans="2:9" s="409" customFormat="1" ht="18.75" customHeight="1">
      <c r="B10" s="1181" t="s">
        <v>588</v>
      </c>
      <c r="C10" s="1181"/>
      <c r="D10" s="412">
        <f>'A2.Operating Plan'!D20</f>
        <v>0</v>
      </c>
      <c r="F10" s="407"/>
      <c r="G10" s="407"/>
      <c r="H10" s="407"/>
    </row>
    <row r="11" spans="2:9" s="409" customFormat="1" ht="18.75" customHeight="1">
      <c r="B11" s="1141" t="s">
        <v>171</v>
      </c>
      <c r="C11" s="1142"/>
      <c r="D11" s="415">
        <f>D9+D10</f>
        <v>0</v>
      </c>
      <c r="F11" s="407"/>
      <c r="G11" s="407"/>
      <c r="H11" s="407"/>
    </row>
    <row r="12" spans="2:9" s="409" customFormat="1" ht="18.75" customHeight="1">
      <c r="B12" s="416" t="s">
        <v>589</v>
      </c>
      <c r="C12" s="414"/>
      <c r="D12" s="415"/>
      <c r="F12" s="407"/>
      <c r="G12" s="407"/>
      <c r="H12" s="407"/>
    </row>
    <row r="13" spans="2:9" s="409" customFormat="1" ht="18.75" customHeight="1">
      <c r="B13" s="1159" t="s">
        <v>590</v>
      </c>
      <c r="C13" s="1159"/>
      <c r="D13" s="417">
        <f>-'A5. Operations'!E20</f>
        <v>0</v>
      </c>
      <c r="F13" s="407"/>
      <c r="G13" s="407"/>
      <c r="H13" s="407"/>
    </row>
    <row r="14" spans="2:9" s="409" customFormat="1" ht="18.75" customHeight="1">
      <c r="B14" s="1159" t="s">
        <v>591</v>
      </c>
      <c r="C14" s="1159"/>
      <c r="D14" s="417">
        <f>-'A3. Peel Region Grants'!G37</f>
        <v>0</v>
      </c>
      <c r="F14" s="407"/>
      <c r="G14" s="407"/>
      <c r="H14" s="407"/>
    </row>
    <row r="15" spans="2:9" s="409" customFormat="1" ht="18.75" customHeight="1">
      <c r="B15" s="1139" t="s">
        <v>592</v>
      </c>
      <c r="C15" s="1140"/>
      <c r="D15" s="418">
        <f>-'A5. Operations'!E21</f>
        <v>0</v>
      </c>
      <c r="F15" s="407"/>
      <c r="G15" s="407"/>
      <c r="H15" s="407"/>
    </row>
    <row r="16" spans="2:9" s="409" customFormat="1" ht="18.75" customHeight="1">
      <c r="B16" s="1141" t="s">
        <v>593</v>
      </c>
      <c r="C16" s="1142"/>
      <c r="D16" s="419">
        <f>D14+D15+D13</f>
        <v>0</v>
      </c>
      <c r="F16" s="407"/>
      <c r="G16" s="407"/>
      <c r="H16" s="407"/>
    </row>
    <row r="17" spans="2:8" s="409" customFormat="1" ht="18.75" customHeight="1">
      <c r="B17" s="413"/>
      <c r="C17" s="414"/>
      <c r="D17" s="420"/>
      <c r="F17" s="407"/>
      <c r="G17" s="407"/>
      <c r="H17" s="407"/>
    </row>
    <row r="18" spans="2:8" s="409" customFormat="1" ht="18.75" customHeight="1">
      <c r="B18" s="1147" t="s">
        <v>594</v>
      </c>
      <c r="C18" s="1147"/>
      <c r="D18" s="421">
        <f>D11+D16</f>
        <v>0</v>
      </c>
      <c r="E18" s="408"/>
      <c r="F18"/>
      <c r="G18" s="407"/>
      <c r="H18" s="407"/>
    </row>
    <row r="19" spans="2:8" s="409" customFormat="1" ht="18.75" customHeight="1">
      <c r="B19" s="422"/>
      <c r="C19" s="422"/>
      <c r="D19" s="423"/>
      <c r="E19" s="408"/>
      <c r="F19"/>
      <c r="G19" s="407"/>
      <c r="H19" s="407"/>
    </row>
    <row r="20" spans="2:8" ht="16.5" customHeight="1" collapsed="1">
      <c r="B20" s="424" t="s">
        <v>595</v>
      </c>
      <c r="C20" s="425" t="s">
        <v>596</v>
      </c>
      <c r="D20" s="426" t="s">
        <v>597</v>
      </c>
      <c r="E20"/>
    </row>
    <row r="21" spans="2:8" ht="15.6">
      <c r="B21" s="390" t="s">
        <v>598</v>
      </c>
      <c r="C21" s="391"/>
      <c r="D21" s="392">
        <f>'A5. Operations'!E125</f>
        <v>0</v>
      </c>
      <c r="E21"/>
    </row>
    <row r="22" spans="2:8" ht="15.6">
      <c r="B22" s="390" t="s">
        <v>599</v>
      </c>
      <c r="C22" s="391"/>
      <c r="D22" s="392"/>
      <c r="E22"/>
    </row>
    <row r="23" spans="2:8" ht="15.6">
      <c r="B23" s="390" t="s">
        <v>600</v>
      </c>
      <c r="C23" s="391"/>
      <c r="D23" s="393">
        <f>IFERROR('A4. Financial Position'!G34*'A2.Operating Plan'!C36,0)</f>
        <v>0</v>
      </c>
      <c r="F23" s="427" t="str">
        <f>IF(Table13[[#This Row],[Amounts]]&gt;0,"Mortgage principal paid in the year is being prorated by 0–6 accommodation percentage of " &amp; TEXT('A2.Operating Plan'!C36,"0.00%") &amp; " from tab 2.", " ")</f>
        <v xml:space="preserve"> </v>
      </c>
      <c r="G23" s="427"/>
    </row>
    <row r="24" spans="2:8" ht="15.6" hidden="1">
      <c r="B24" s="394" t="s">
        <v>601</v>
      </c>
      <c r="C24" s="391"/>
      <c r="D24" s="395">
        <f>-'A3. Peel Region Grants'!C119</f>
        <v>0</v>
      </c>
      <c r="E24"/>
    </row>
    <row r="25" spans="2:8" ht="15.6" hidden="1">
      <c r="B25" s="428" t="s">
        <v>602</v>
      </c>
      <c r="C25" s="396"/>
      <c r="D25" s="395">
        <f>-'A3. Peel Region Grants'!C118</f>
        <v>0</v>
      </c>
      <c r="E25"/>
    </row>
    <row r="26" spans="2:8" ht="15.6">
      <c r="B26" s="619" t="s">
        <v>603</v>
      </c>
      <c r="C26" s="391"/>
      <c r="D26" s="395">
        <f>-'A5. Operations'!E59</f>
        <v>0</v>
      </c>
      <c r="E26"/>
    </row>
    <row r="27" spans="2:8" ht="15.6">
      <c r="B27" s="428" t="s">
        <v>604</v>
      </c>
      <c r="C27" s="396"/>
      <c r="D27" s="395">
        <f>-'A5. Operations'!E83</f>
        <v>0</v>
      </c>
      <c r="E27"/>
    </row>
    <row r="28" spans="2:8" ht="15.6">
      <c r="B28" s="428" t="s">
        <v>605</v>
      </c>
      <c r="C28" s="396"/>
      <c r="D28" s="395">
        <f>-'A5. Operations'!E108</f>
        <v>0</v>
      </c>
      <c r="E28"/>
    </row>
    <row r="29" spans="2:8" ht="15.6">
      <c r="B29" s="428" t="s">
        <v>606</v>
      </c>
      <c r="C29" s="396"/>
      <c r="D29" s="395">
        <f>-'A5. Operations'!E97</f>
        <v>0</v>
      </c>
      <c r="E29"/>
    </row>
    <row r="30" spans="2:8" ht="14.45" customHeight="1">
      <c r="B30" s="394" t="s">
        <v>607</v>
      </c>
      <c r="C30" s="391"/>
      <c r="D30" s="395">
        <f>-'A5. Operations'!D115</f>
        <v>0</v>
      </c>
      <c r="E30"/>
    </row>
    <row r="31" spans="2:8" ht="15.6">
      <c r="B31" s="394" t="s">
        <v>608</v>
      </c>
      <c r="C31" s="391"/>
      <c r="D31" s="395">
        <f>-'A5. Operations'!E120</f>
        <v>0</v>
      </c>
      <c r="E31"/>
    </row>
    <row r="32" spans="2:8" ht="15.6">
      <c r="B32" s="394" t="s">
        <v>609</v>
      </c>
      <c r="C32" s="391"/>
      <c r="D32" s="395">
        <f>-'A3. Peel Region Grants'!G38-'A3. Peel Region Grants'!G39</f>
        <v>0</v>
      </c>
      <c r="E32"/>
    </row>
    <row r="33" spans="2:118" ht="18.600000000000001" hidden="1">
      <c r="B33" s="619" t="s">
        <v>610</v>
      </c>
      <c r="C33" s="391"/>
      <c r="D33" s="397">
        <f>-'A3. Peel Region Grants'!F130</f>
        <v>0</v>
      </c>
      <c r="E33"/>
    </row>
    <row r="34" spans="2:118" ht="15.6">
      <c r="B34" s="428" t="s">
        <v>611</v>
      </c>
      <c r="C34" s="396"/>
      <c r="D34" s="395">
        <f>-'A3. Peel Region Grants'!F160</f>
        <v>0</v>
      </c>
      <c r="E34"/>
    </row>
    <row r="35" spans="2:118" ht="15.6">
      <c r="B35" s="390" t="s">
        <v>612</v>
      </c>
      <c r="C35" s="391"/>
      <c r="D35" s="398">
        <f>SUM(D23:D34)</f>
        <v>0</v>
      </c>
      <c r="E35"/>
      <c r="I35" s="52"/>
    </row>
    <row r="36" spans="2:118" ht="15.6" collapsed="1">
      <c r="B36" s="390"/>
      <c r="C36" s="391"/>
      <c r="D36" s="392"/>
      <c r="E36"/>
      <c r="G36" s="52"/>
    </row>
    <row r="37" spans="2:118" s="6" customFormat="1" ht="15.6">
      <c r="B37" s="390" t="s">
        <v>613</v>
      </c>
      <c r="C37" s="391"/>
      <c r="D37" s="392">
        <f>+D21+D35</f>
        <v>0</v>
      </c>
      <c r="E37" s="429"/>
      <c r="F37" s="429"/>
      <c r="H37" s="429"/>
      <c r="DD37"/>
      <c r="DE37"/>
      <c r="DF37"/>
      <c r="DG37"/>
      <c r="DH37"/>
      <c r="DI37"/>
      <c r="DJ37"/>
      <c r="DK37"/>
      <c r="DL37"/>
      <c r="DM37"/>
      <c r="DN37"/>
    </row>
    <row r="38" spans="2:118" ht="15.6">
      <c r="B38" s="390"/>
      <c r="C38" s="391"/>
      <c r="D38" s="392"/>
      <c r="E38"/>
      <c r="F38" s="430"/>
      <c r="G38" s="82"/>
      <c r="H38" s="431"/>
      <c r="DD38" s="6"/>
      <c r="DE38" s="6"/>
      <c r="DF38" s="6"/>
      <c r="DG38" s="6"/>
      <c r="DH38" s="6"/>
      <c r="DI38" s="6"/>
      <c r="DJ38" s="6"/>
      <c r="DK38" s="6"/>
      <c r="DL38" s="6"/>
      <c r="DM38" s="6"/>
      <c r="DN38" s="6"/>
    </row>
    <row r="39" spans="2:118" ht="15.6">
      <c r="B39" s="390" t="s">
        <v>614</v>
      </c>
      <c r="C39" s="391"/>
      <c r="D39" s="392">
        <f>IFERROR('A2.Operating Plan'!D17,0)</f>
        <v>0</v>
      </c>
      <c r="E39"/>
      <c r="F39" s="52"/>
      <c r="G39" s="52"/>
      <c r="H39" s="52"/>
      <c r="I39" s="52"/>
    </row>
    <row r="40" spans="2:118" ht="15.6">
      <c r="B40" s="390"/>
      <c r="C40" s="391"/>
      <c r="D40" s="392"/>
      <c r="E40"/>
      <c r="F40" s="52"/>
      <c r="H40" s="52"/>
      <c r="I40" s="52"/>
    </row>
    <row r="41" spans="2:118" ht="15.6">
      <c r="B41" s="390" t="s">
        <v>615</v>
      </c>
      <c r="C41" s="391"/>
      <c r="D41" s="392">
        <f>IF(D37&gt;D39,0,ROUND(D39-D37,2))</f>
        <v>0</v>
      </c>
      <c r="E41"/>
      <c r="H41" s="52"/>
      <c r="I41" s="52"/>
    </row>
    <row r="42" spans="2:118" ht="15.6" hidden="1">
      <c r="B42" s="390" t="str">
        <f>IF(Table13[[#This Row],[Amounts]]&gt;0,"Underspending of CWELCC program applied to OTEF", " ")</f>
        <v xml:space="preserve"> </v>
      </c>
      <c r="C42" s="432"/>
      <c r="D42" s="392">
        <f>C114</f>
        <v>0</v>
      </c>
      <c r="E42"/>
      <c r="I42" s="52"/>
      <c r="J42" s="385"/>
    </row>
    <row r="43" spans="2:118" ht="15.6" hidden="1">
      <c r="B43" s="428" t="s">
        <v>616</v>
      </c>
      <c r="C43" s="396"/>
      <c r="D43" s="392">
        <f>D37+D42</f>
        <v>0</v>
      </c>
      <c r="E43"/>
      <c r="G43" s="52"/>
      <c r="H43" s="52"/>
      <c r="I43" s="385"/>
      <c r="J43" s="52"/>
    </row>
    <row r="44" spans="2:118" ht="18.75" hidden="1" customHeight="1">
      <c r="B44" s="433" t="s">
        <v>617</v>
      </c>
      <c r="C44" s="434"/>
      <c r="D44" s="435">
        <f>ROUND(D41-D42,2)</f>
        <v>0</v>
      </c>
      <c r="E44"/>
      <c r="H44" s="52"/>
      <c r="I44" s="385"/>
      <c r="J44" s="52"/>
    </row>
    <row r="45" spans="2:118" ht="12" hidden="1" customHeight="1">
      <c r="B45" s="436"/>
      <c r="C45" s="437"/>
      <c r="D45" s="438"/>
      <c r="E45" s="439"/>
    </row>
    <row r="46" spans="2:118" ht="27.75" hidden="1" customHeight="1">
      <c r="B46" s="101" t="str">
        <f>IF(C114&gt;0,"*Important Note: CWELCC program allocation underspending of $" &amp;ROUND(C114,0)&amp; " is being applied to your OTEF grant to maximize your Cost based funding, your remaining amount in Program cost underspending is $"&amp;D44," ")</f>
        <v xml:space="preserve"> </v>
      </c>
      <c r="D46" s="52"/>
      <c r="E46" s="440"/>
    </row>
    <row r="47" spans="2:118" ht="15" thickBot="1"/>
    <row r="48" spans="2:118" ht="25.5" customHeight="1" thickBot="1">
      <c r="B48" s="441" t="s">
        <v>618</v>
      </c>
      <c r="C48" s="442"/>
      <c r="D48" s="442"/>
      <c r="E48" s="442"/>
      <c r="F48" s="443"/>
      <c r="G48" s="443"/>
    </row>
    <row r="51" spans="2:8" ht="21">
      <c r="B51" s="1145" t="s">
        <v>619</v>
      </c>
      <c r="C51" s="1146"/>
      <c r="D51" s="1146"/>
      <c r="E51" s="444"/>
    </row>
    <row r="52" spans="2:8" ht="15.6">
      <c r="B52" s="1143" t="s">
        <v>620</v>
      </c>
      <c r="C52" s="1143"/>
      <c r="D52" s="1143"/>
      <c r="E52" s="445">
        <f>IFERROR((IF('A7. 2025 CWELCC'!D39-'A7. 2025 CWELCC'!D63&lt;0,0,'A7. 2025 CWELCC'!D39-'A7. 2025 CWELCC'!D63)),0)</f>
        <v>0</v>
      </c>
      <c r="F52" s="446" t="str">
        <f>IF(E52&gt;0,"Your eligible CWELCC Program Cost allocation is underspent, unused funding will be recovered at end of year.", "")</f>
        <v/>
      </c>
      <c r="G52" s="447"/>
    </row>
    <row r="53" spans="2:8" ht="15.6">
      <c r="B53" s="1143" t="s">
        <v>621</v>
      </c>
      <c r="C53" s="1143"/>
      <c r="D53" s="1143"/>
      <c r="E53" s="445">
        <f>IFERROR(ROUND(('A2.Operating Plan'!D20-'A7. 2025 CWELCC'!E65),0),0)</f>
        <v>0</v>
      </c>
      <c r="F53" s="446" t="str">
        <f>IF(E53&gt;0,"Recalculation of Lieu of Profit/Surplus due to underspending and/or not participating in CWELCC for full 12 months.", "")</f>
        <v/>
      </c>
    </row>
    <row r="54" spans="2:8" ht="15.6">
      <c r="B54" s="1143" t="s">
        <v>622</v>
      </c>
      <c r="C54" s="1143"/>
      <c r="D54" s="1143"/>
      <c r="E54" s="445">
        <f>IFERROR((IF('A7. 2025 CWELCC'!C74&lt;'A7. 2025 CWELCC'!C73,0,'A7. 2025 CWELCC'!C74-'A7. 2025 CWELCC'!C73)),0)</f>
        <v>0</v>
      </c>
      <c r="F54" s="446" t="str">
        <f>IF(E54&gt;0,"Actual Base Fee Revenue is greater than expected revenue, any revenue collected in excess of allocation will be recovered", "")</f>
        <v/>
      </c>
    </row>
    <row r="55" spans="2:8" ht="15.6">
      <c r="B55" s="1144" t="s">
        <v>623</v>
      </c>
      <c r="C55" s="1144"/>
      <c r="D55" s="1144"/>
      <c r="E55" s="448">
        <f>SUM(E52:E54)</f>
        <v>0</v>
      </c>
      <c r="G55" s="52"/>
      <c r="H55" s="385"/>
    </row>
    <row r="56" spans="2:8" ht="21" customHeight="1" thickBot="1">
      <c r="E56"/>
    </row>
    <row r="57" spans="2:8" ht="21">
      <c r="B57" s="449" t="s">
        <v>624</v>
      </c>
      <c r="C57" s="450"/>
      <c r="D57" s="450"/>
      <c r="E57" s="451"/>
    </row>
    <row r="58" spans="2:8" ht="15.95" thickBot="1">
      <c r="B58" s="73" t="s">
        <v>625</v>
      </c>
      <c r="E58" s="51"/>
    </row>
    <row r="59" spans="2:8" ht="15.95" thickBot="1">
      <c r="B59" s="452" t="s">
        <v>626</v>
      </c>
      <c r="C59" s="453"/>
      <c r="D59" s="453"/>
      <c r="E59" s="454">
        <f>IFERROR('A2.Operating Plan'!D21,0)</f>
        <v>0</v>
      </c>
    </row>
    <row r="60" spans="2:8" ht="15.95" thickTop="1">
      <c r="B60" s="455"/>
      <c r="C60" s="456"/>
      <c r="D60" s="457"/>
      <c r="E60" s="458"/>
    </row>
    <row r="61" spans="2:8" ht="17.25" customHeight="1">
      <c r="B61" s="459" t="s">
        <v>627</v>
      </c>
      <c r="C61" s="460"/>
      <c r="D61" s="460"/>
      <c r="E61" s="461">
        <f>IFERROR(MIN(D63,D64),0)</f>
        <v>0</v>
      </c>
    </row>
    <row r="62" spans="2:8" ht="15.6">
      <c r="B62" s="462" t="s">
        <v>628</v>
      </c>
      <c r="D62" s="463"/>
      <c r="E62" s="464"/>
    </row>
    <row r="63" spans="2:8" ht="15.6">
      <c r="B63" s="465" t="s">
        <v>629</v>
      </c>
      <c r="D63" s="463">
        <f>D37+D42</f>
        <v>0</v>
      </c>
      <c r="E63" s="466"/>
    </row>
    <row r="64" spans="2:8" ht="15.95" thickBot="1">
      <c r="B64" s="467" t="s">
        <v>630</v>
      </c>
      <c r="C64" s="468"/>
      <c r="D64" s="469">
        <f>D39</f>
        <v>0</v>
      </c>
      <c r="E64" s="470"/>
    </row>
    <row r="65" spans="2:7" ht="15.95" thickTop="1">
      <c r="B65" s="471" t="s">
        <v>631</v>
      </c>
      <c r="C65" s="472"/>
      <c r="D65" s="473"/>
      <c r="E65" s="474">
        <f>ROUND(IF((D66+D69+D70)&gt;'A2.Operating Plan'!D20,'A2.Operating Plan'!D20,'A7. 2025 CWELCC'!D66+'A7. 2025 CWELCC'!D69+'A7. 2025 CWELCC'!D70),0)</f>
        <v>0</v>
      </c>
    </row>
    <row r="66" spans="2:7" ht="15.6">
      <c r="B66" s="475" t="s">
        <v>632</v>
      </c>
      <c r="D66" s="463">
        <f>IFERROR(0.0425*E61,0)</f>
        <v>0</v>
      </c>
      <c r="E66" s="476"/>
    </row>
    <row r="67" spans="2:7" ht="15.6">
      <c r="B67" s="477" t="s">
        <v>633</v>
      </c>
      <c r="D67" s="463"/>
      <c r="E67" s="476"/>
    </row>
    <row r="68" spans="2:7" ht="15.6">
      <c r="B68" s="478" t="s">
        <v>634</v>
      </c>
      <c r="C68" s="463">
        <f>IFERROR(E61,0)</f>
        <v>0</v>
      </c>
      <c r="D68" s="463"/>
      <c r="E68" s="51"/>
    </row>
    <row r="69" spans="2:7" ht="15.6">
      <c r="B69" s="478" t="s">
        <v>635</v>
      </c>
      <c r="C69" s="463">
        <f>IFERROR(SUM('A2.Operating Plan'!D11:D14),0)</f>
        <v>0</v>
      </c>
      <c r="D69" s="463">
        <f>IFERROR(0.035*MIN(C68,C69),0)</f>
        <v>0</v>
      </c>
      <c r="E69" s="51"/>
    </row>
    <row r="70" spans="2:7" ht="15.95" thickBot="1">
      <c r="B70" s="479" t="str">
        <f>"iii. Add - $"&amp;D70&amp; " per agency"</f>
        <v>iii. Add - $0 per agency</v>
      </c>
      <c r="C70" s="480"/>
      <c r="D70" s="469">
        <f>IF(E59=0,0,IF('A2.Operating Plan'!E30=0,6000,6000/12*'A2.Operating Plan'!E30))</f>
        <v>0</v>
      </c>
      <c r="E70" s="481"/>
    </row>
    <row r="71" spans="2:7" ht="15.95" thickTop="1">
      <c r="B71" s="471" t="s">
        <v>636</v>
      </c>
      <c r="C71" s="472"/>
      <c r="D71" s="482"/>
      <c r="E71" s="474">
        <f>-IFERROR(MAX(C73,C74),0)</f>
        <v>0</v>
      </c>
    </row>
    <row r="72" spans="2:7" ht="15.6">
      <c r="B72" s="483" t="s">
        <v>637</v>
      </c>
      <c r="D72" s="456"/>
      <c r="E72" s="484"/>
    </row>
    <row r="73" spans="2:7" ht="15.6">
      <c r="B73" s="475" t="s">
        <v>638</v>
      </c>
      <c r="C73" s="463">
        <f>-IFERROR('A2.Operating Plan'!D18,0)</f>
        <v>0</v>
      </c>
      <c r="D73" s="456"/>
      <c r="E73" s="484"/>
    </row>
    <row r="74" spans="2:7" ht="15.95" thickBot="1">
      <c r="B74" s="485" t="s">
        <v>639</v>
      </c>
      <c r="C74" s="469">
        <f>-D16</f>
        <v>0</v>
      </c>
      <c r="D74" s="486"/>
      <c r="E74" s="487"/>
    </row>
    <row r="75" spans="2:7" ht="16.5" thickTop="1" thickBot="1">
      <c r="B75" s="488" t="s">
        <v>640</v>
      </c>
      <c r="C75" s="489"/>
      <c r="D75" s="490"/>
      <c r="E75" s="491">
        <f>IFERROR(E61+E65+E71,0)</f>
        <v>0</v>
      </c>
    </row>
    <row r="76" spans="2:7" ht="15.95" thickBot="1">
      <c r="B76" s="492"/>
      <c r="C76" s="492"/>
      <c r="D76" s="492"/>
      <c r="E76" s="493"/>
    </row>
    <row r="77" spans="2:7" ht="18.95" thickBot="1">
      <c r="B77" s="494" t="s">
        <v>641</v>
      </c>
      <c r="C77" s="495"/>
      <c r="D77" s="495"/>
      <c r="E77" s="496">
        <f>IF(E75&lt;0,0,E59-E75)</f>
        <v>0</v>
      </c>
    </row>
    <row r="80" spans="2:7" ht="24" hidden="1" thickBot="1">
      <c r="B80" s="441" t="s">
        <v>642</v>
      </c>
      <c r="C80" s="442"/>
      <c r="D80" s="442"/>
      <c r="E80" s="497"/>
      <c r="F80" s="498"/>
      <c r="G80" s="498"/>
    </row>
    <row r="81" spans="2:5" hidden="1"/>
    <row r="82" spans="2:5" ht="15" hidden="1" outlineLevel="1" thickBot="1"/>
    <row r="83" spans="2:5" ht="21.6" hidden="1" outlineLevel="1" thickBot="1">
      <c r="B83" s="499" t="s">
        <v>231</v>
      </c>
      <c r="C83" s="500"/>
      <c r="D83" s="500"/>
      <c r="E83" s="501"/>
    </row>
    <row r="84" spans="2:5" ht="15.6" hidden="1" outlineLevel="1">
      <c r="B84" s="73"/>
      <c r="C84" s="13"/>
      <c r="D84" s="13"/>
      <c r="E84" s="13"/>
    </row>
    <row r="85" spans="2:5" ht="18.600000000000001" hidden="1" outlineLevel="1">
      <c r="B85" s="1087" t="s">
        <v>643</v>
      </c>
      <c r="C85" s="1088"/>
      <c r="D85" s="1088"/>
      <c r="E85" s="1089"/>
    </row>
    <row r="86" spans="2:5" ht="15.6" hidden="1" outlineLevel="1">
      <c r="B86" s="73"/>
      <c r="C86" s="13"/>
      <c r="D86" s="13"/>
      <c r="E86" s="76"/>
    </row>
    <row r="87" spans="2:5" ht="15.6" hidden="1" outlineLevel="1">
      <c r="B87" s="78" t="s">
        <v>644</v>
      </c>
      <c r="C87" s="13"/>
      <c r="D87" s="13"/>
      <c r="E87" s="76"/>
    </row>
    <row r="88" spans="2:5" ht="15.6" hidden="1" outlineLevel="1">
      <c r="B88" s="78"/>
      <c r="C88" s="13"/>
      <c r="D88" s="13"/>
      <c r="E88" s="76"/>
    </row>
    <row r="89" spans="2:5" ht="15.6" hidden="1" outlineLevel="1">
      <c r="B89" s="87" t="s">
        <v>207</v>
      </c>
      <c r="C89" s="92" t="s">
        <v>208</v>
      </c>
      <c r="E89" s="76"/>
    </row>
    <row r="90" spans="2:5" ht="15.6" hidden="1" outlineLevel="1">
      <c r="B90" s="78" t="s">
        <v>209</v>
      </c>
      <c r="C90" s="242">
        <f>'A3. Peel Region Grants'!C98</f>
        <v>0</v>
      </c>
      <c r="D90" s="238"/>
      <c r="E90" s="76"/>
    </row>
    <row r="91" spans="2:5" ht="15.6" hidden="1" outlineLevel="1">
      <c r="B91" s="80" t="s">
        <v>210</v>
      </c>
      <c r="C91" s="242">
        <f>'A3. Peel Region Grants'!C99</f>
        <v>0</v>
      </c>
      <c r="D91" s="238"/>
      <c r="E91" s="76"/>
    </row>
    <row r="92" spans="2:5" ht="15.6" hidden="1" outlineLevel="1">
      <c r="B92" s="80" t="s">
        <v>211</v>
      </c>
      <c r="C92" s="242">
        <f>'A3. Peel Region Grants'!C100</f>
        <v>0</v>
      </c>
      <c r="E92" s="76"/>
    </row>
    <row r="93" spans="2:5" ht="15.6" hidden="1" outlineLevel="1">
      <c r="B93" s="88" t="s">
        <v>212</v>
      </c>
      <c r="C93" s="262">
        <f>+C90-C91-C92</f>
        <v>0</v>
      </c>
      <c r="E93" s="76"/>
    </row>
    <row r="94" spans="2:5" ht="15.6" hidden="1" outlineLevel="1">
      <c r="B94" s="78"/>
      <c r="C94" s="252"/>
      <c r="D94" s="238"/>
      <c r="E94" s="76"/>
    </row>
    <row r="95" spans="2:5" ht="15.6" hidden="1" outlineLevel="1">
      <c r="B95" s="87" t="s">
        <v>213</v>
      </c>
      <c r="C95" s="92" t="s">
        <v>208</v>
      </c>
      <c r="D95" s="502" t="s">
        <v>125</v>
      </c>
      <c r="E95" s="76"/>
    </row>
    <row r="96" spans="2:5" ht="15.6" hidden="1" outlineLevel="1">
      <c r="B96" s="78" t="s">
        <v>212</v>
      </c>
      <c r="C96" s="503">
        <f>C93</f>
        <v>0</v>
      </c>
      <c r="D96" s="504"/>
      <c r="E96" s="76"/>
    </row>
    <row r="97" spans="2:5" ht="15.6" hidden="1" outlineLevel="1">
      <c r="B97" s="505" t="s">
        <v>214</v>
      </c>
      <c r="C97" s="506">
        <f>+'A3. Peel Region Grants'!C105</f>
        <v>0</v>
      </c>
      <c r="D97" s="507">
        <f>IFERROR(C97/C93,0)</f>
        <v>0</v>
      </c>
      <c r="E97" s="76"/>
    </row>
    <row r="98" spans="2:5" ht="15.6" hidden="1" outlineLevel="1">
      <c r="B98" s="78" t="s">
        <v>215</v>
      </c>
      <c r="C98" s="503">
        <f>+C96-C97</f>
        <v>0</v>
      </c>
      <c r="D98" s="508"/>
      <c r="E98" s="76"/>
    </row>
    <row r="99" spans="2:5" ht="15.6" hidden="1" outlineLevel="1">
      <c r="B99" s="80" t="s">
        <v>216</v>
      </c>
      <c r="C99" s="506">
        <f>+'A3. Peel Region Grants'!C107</f>
        <v>0</v>
      </c>
      <c r="D99" s="507">
        <f>IFERROR(C99/C98,0)</f>
        <v>0</v>
      </c>
      <c r="E99" s="76"/>
    </row>
    <row r="100" spans="2:5" ht="15.6" hidden="1" outlineLevel="1">
      <c r="B100" s="88" t="s">
        <v>645</v>
      </c>
      <c r="C100" s="89">
        <f>+C98-C99</f>
        <v>0</v>
      </c>
      <c r="D100" s="509"/>
      <c r="E100" s="510"/>
    </row>
    <row r="101" spans="2:5" ht="15.6" hidden="1" outlineLevel="1">
      <c r="B101" s="73"/>
      <c r="C101" s="13"/>
      <c r="D101" s="13"/>
      <c r="E101" s="510"/>
    </row>
    <row r="102" spans="2:5" ht="18.600000000000001" hidden="1" outlineLevel="1">
      <c r="B102" s="1087" t="s">
        <v>218</v>
      </c>
      <c r="C102" s="1088"/>
      <c r="D102" s="1088"/>
      <c r="E102" s="1089"/>
    </row>
    <row r="103" spans="2:5" ht="15.6" hidden="1" outlineLevel="1">
      <c r="B103" s="78"/>
      <c r="D103" s="13"/>
      <c r="E103" s="76"/>
    </row>
    <row r="104" spans="2:5" ht="15.6" hidden="1" outlineLevel="1">
      <c r="B104" s="87" t="s">
        <v>207</v>
      </c>
      <c r="C104" s="92" t="s">
        <v>208</v>
      </c>
      <c r="D104" s="238"/>
      <c r="E104" s="51"/>
    </row>
    <row r="105" spans="2:5" ht="15.6" hidden="1" outlineLevel="1">
      <c r="B105" s="78" t="s">
        <v>646</v>
      </c>
      <c r="C105" s="511">
        <f>IF('A3. Peel Region Grants'!C98&lt;'A3. Peel Region Grants'!C114,'A3. Peel Region Grants'!C98,'A3. Peel Region Grants'!C114)</f>
        <v>0</v>
      </c>
      <c r="D105" s="238"/>
      <c r="E105" s="512" t="str">
        <f>IF(C109&gt;C93,"Final Net Project cost is higher than the Approved Net Project cost", " ")</f>
        <v xml:space="preserve"> </v>
      </c>
    </row>
    <row r="106" spans="2:5" ht="15.6" hidden="1" outlineLevel="1">
      <c r="B106" s="80" t="s">
        <v>210</v>
      </c>
      <c r="C106" s="242">
        <f>'A3. Peel Region Grants'!C115</f>
        <v>0</v>
      </c>
      <c r="D106" s="79"/>
      <c r="E106" s="512"/>
    </row>
    <row r="107" spans="2:5" ht="15.6" hidden="1" outlineLevel="1">
      <c r="B107" s="80" t="s">
        <v>211</v>
      </c>
      <c r="C107" s="242">
        <f>'A3. Peel Region Grants'!C116</f>
        <v>0</v>
      </c>
      <c r="D107" s="79"/>
      <c r="E107" s="512"/>
    </row>
    <row r="108" spans="2:5" ht="15.6" hidden="1" outlineLevel="1">
      <c r="B108" s="80" t="s">
        <v>647</v>
      </c>
      <c r="C108" s="511">
        <f>'A3. Peel Region Grants'!C117</f>
        <v>0</v>
      </c>
      <c r="D108" s="79"/>
      <c r="E108" s="512"/>
    </row>
    <row r="109" spans="2:5" ht="18.600000000000001" hidden="1" outlineLevel="1">
      <c r="B109" s="88" t="s">
        <v>226</v>
      </c>
      <c r="C109" s="513">
        <f>MIN(C105-C106-C107-C108,'A3. Peel Region Grants'!C118+'A3. Peel Region Grants'!C119)</f>
        <v>0</v>
      </c>
      <c r="D109" s="514"/>
      <c r="E109" s="512"/>
    </row>
    <row r="110" spans="2:5" ht="15.95" hidden="1" outlineLevel="1" thickBot="1">
      <c r="B110" s="78"/>
      <c r="C110" s="13"/>
      <c r="D110" s="13"/>
      <c r="E110" s="94"/>
    </row>
    <row r="111" spans="2:5" ht="15.6" hidden="1" outlineLevel="1">
      <c r="B111" s="515" t="s">
        <v>648</v>
      </c>
      <c r="C111" s="1137">
        <f>IF(C105=0,0,D41)</f>
        <v>0</v>
      </c>
      <c r="D111" s="516"/>
      <c r="E111" s="76"/>
    </row>
    <row r="112" spans="2:5" ht="18.95" hidden="1" outlineLevel="1" thickBot="1">
      <c r="B112" s="517" t="s">
        <v>649</v>
      </c>
      <c r="C112" s="1138"/>
      <c r="D112" s="516"/>
      <c r="E112" s="76"/>
    </row>
    <row r="113" spans="2:5" ht="15.6" hidden="1" outlineLevel="1">
      <c r="B113" s="78"/>
      <c r="D113" s="13"/>
      <c r="E113" s="76"/>
    </row>
    <row r="114" spans="2:5" ht="15.6" hidden="1" outlineLevel="1">
      <c r="B114" s="518" t="s">
        <v>650</v>
      </c>
      <c r="C114" s="519">
        <f>IF(D41&gt;C109,C109,D41)</f>
        <v>0</v>
      </c>
      <c r="D114" s="13"/>
      <c r="E114" s="51"/>
    </row>
    <row r="115" spans="2:5" ht="15.6" hidden="1" outlineLevel="1">
      <c r="B115" s="518"/>
      <c r="C115" s="519"/>
      <c r="D115" s="13"/>
      <c r="E115" s="51"/>
    </row>
    <row r="116" spans="2:5" ht="15.6" hidden="1" outlineLevel="1">
      <c r="B116" s="520" t="s">
        <v>651</v>
      </c>
      <c r="C116" s="521">
        <f>IF(C114-'A3. Peel Region Grants'!C118&gt;=0,'A3. Peel Region Grants'!C118,C114)</f>
        <v>0</v>
      </c>
      <c r="D116" s="522"/>
      <c r="E116" s="523"/>
    </row>
    <row r="117" spans="2:5" ht="15.6" hidden="1" outlineLevel="1">
      <c r="B117" s="520" t="s">
        <v>652</v>
      </c>
      <c r="C117" s="521">
        <f>C114-C116</f>
        <v>0</v>
      </c>
      <c r="D117" s="522"/>
      <c r="E117" s="523"/>
    </row>
    <row r="118" spans="2:5" ht="15.6" hidden="1" outlineLevel="1">
      <c r="B118" s="524" t="s">
        <v>653</v>
      </c>
      <c r="C118" s="521">
        <f>IF(C114&gt;C109*D99,0,C109*D99-C114)</f>
        <v>0</v>
      </c>
      <c r="D118" s="516"/>
      <c r="E118" s="523"/>
    </row>
    <row r="119" spans="2:5" ht="15.6" hidden="1" outlineLevel="1">
      <c r="B119" s="518" t="s">
        <v>654</v>
      </c>
      <c r="C119" s="521">
        <f>+C109-C114-C118</f>
        <v>0</v>
      </c>
      <c r="D119" s="516"/>
      <c r="E119" s="523"/>
    </row>
    <row r="120" spans="2:5" ht="15.95" hidden="1" outlineLevel="1" thickBot="1">
      <c r="B120" s="525" t="s">
        <v>655</v>
      </c>
      <c r="C120" s="526">
        <f>+C114+C118+C119</f>
        <v>0</v>
      </c>
      <c r="D120" s="516"/>
      <c r="E120" s="523"/>
    </row>
    <row r="121" spans="2:5" ht="15.95" hidden="1" outlineLevel="1" thickTop="1">
      <c r="B121" s="80"/>
      <c r="C121" s="527"/>
      <c r="D121" s="516"/>
      <c r="E121" s="523"/>
    </row>
    <row r="122" spans="2:5" ht="15.95" hidden="1" outlineLevel="1" thickBot="1">
      <c r="B122" s="528"/>
      <c r="C122" s="529"/>
      <c r="D122" s="530"/>
      <c r="E122" s="77"/>
    </row>
    <row r="123" spans="2:5" hidden="1" collapsed="1"/>
    <row r="124" spans="2:5" hidden="1"/>
  </sheetData>
  <sheetProtection algorithmName="SHA-512" hashValue="RGolkJL9hsFjOsZqWRpNseHtAV4lXeLGDcr9ojkm7ptUrm6ZZev8ZvIj0ojXU4SaIORCWKBFNcVhS7a8hdXLbg==" saltValue="EbrLJXawTkxAbMxoh58dNA==" spinCount="100000" sheet="1" objects="1" scenarios="1"/>
  <mergeCells count="21">
    <mergeCell ref="B1:E1"/>
    <mergeCell ref="B3:E3"/>
    <mergeCell ref="B4:E4"/>
    <mergeCell ref="B10:C10"/>
    <mergeCell ref="B16:C16"/>
    <mergeCell ref="B8:C8"/>
    <mergeCell ref="B6:E6"/>
    <mergeCell ref="B9:C9"/>
    <mergeCell ref="B13:C13"/>
    <mergeCell ref="B14:C14"/>
    <mergeCell ref="C111:C112"/>
    <mergeCell ref="B15:C15"/>
    <mergeCell ref="B11:C11"/>
    <mergeCell ref="B54:D54"/>
    <mergeCell ref="B55:D55"/>
    <mergeCell ref="B51:D51"/>
    <mergeCell ref="B52:D52"/>
    <mergeCell ref="B53:D53"/>
    <mergeCell ref="B18:C18"/>
    <mergeCell ref="B102:E102"/>
    <mergeCell ref="B85:E85"/>
  </mergeCells>
  <phoneticPr fontId="5" type="noConversion"/>
  <pageMargins left="0.7" right="0.7" top="0.75" bottom="0.75" header="0.3" footer="0.3"/>
  <pageSetup scale="38"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794FB-984D-4E06-9E28-5867912E160B}">
  <sheetPr>
    <tabColor theme="4" tint="0.59999389629810485"/>
  </sheetPr>
  <dimension ref="A1:M38"/>
  <sheetViews>
    <sheetView showGridLines="0" workbookViewId="0">
      <selection activeCell="J18" sqref="J18"/>
    </sheetView>
  </sheetViews>
  <sheetFormatPr defaultColWidth="9.140625" defaultRowHeight="14.45"/>
  <cols>
    <col min="1" max="1" width="2.85546875" bestFit="1" customWidth="1"/>
    <col min="2" max="2" width="29.42578125" customWidth="1"/>
    <col min="3" max="3" width="22.5703125" customWidth="1"/>
    <col min="4" max="4" width="10" customWidth="1"/>
    <col min="5" max="5" width="26.85546875" customWidth="1"/>
    <col min="6" max="6" width="16" customWidth="1"/>
    <col min="7" max="7" width="16.85546875" customWidth="1"/>
    <col min="8" max="8" width="26.85546875" customWidth="1"/>
    <col min="9" max="9" width="18.5703125" customWidth="1"/>
    <col min="10" max="10" width="14.42578125" customWidth="1"/>
    <col min="11" max="11" width="14" customWidth="1"/>
    <col min="12" max="12" width="14.85546875" customWidth="1"/>
    <col min="13" max="13" width="16.42578125" customWidth="1"/>
    <col min="14" max="14" width="13.28515625" customWidth="1"/>
    <col min="15" max="15" width="11.42578125" customWidth="1"/>
    <col min="16" max="16" width="15.42578125" customWidth="1"/>
    <col min="17" max="17" width="15.7109375" customWidth="1"/>
    <col min="18" max="18" width="11.140625" customWidth="1"/>
    <col min="19" max="19" width="15.42578125" customWidth="1"/>
  </cols>
  <sheetData>
    <row r="1" spans="1:12" ht="26.1">
      <c r="B1" s="1160" t="s">
        <v>583</v>
      </c>
      <c r="C1" s="1161"/>
      <c r="D1" s="1161"/>
      <c r="E1" s="1161"/>
      <c r="F1" s="1161"/>
      <c r="G1" s="1161"/>
      <c r="H1" s="1162"/>
      <c r="I1" s="108" t="s">
        <v>1</v>
      </c>
      <c r="J1" s="107" t="str">
        <f>IF('A1. Identification'!$D$13=0, " ",'A1. Identification'!$D$13)</f>
        <v xml:space="preserve"> </v>
      </c>
    </row>
    <row r="2" spans="1:12" ht="21" customHeight="1">
      <c r="B2" s="531"/>
      <c r="C2" s="532"/>
      <c r="D2" s="532"/>
      <c r="E2" s="532"/>
      <c r="F2" s="532"/>
      <c r="G2" s="532"/>
      <c r="H2" s="533"/>
      <c r="I2" s="108" t="s">
        <v>3</v>
      </c>
      <c r="J2" s="107" t="str">
        <f>'A5. Operations'!L2</f>
        <v>Please enter Ministry licence number on tab A6 row 7</v>
      </c>
    </row>
    <row r="3" spans="1:12" ht="23.45">
      <c r="B3" s="1151" t="str">
        <f>IF('A1. Identification'!D7=0, "Financial Annual Information Return (FAIR) and 2025 CWELCC Reconciliation for LHCC (Peel Overseeing SSM)",'A1. Identification'!D7)</f>
        <v>Financial Annual Information Return (FAIR) and 2025 CWELCC Reconciliation for LHCC (Peel Overseeing SSM)</v>
      </c>
      <c r="C3" s="1152"/>
      <c r="D3" s="1152"/>
      <c r="E3" s="1152"/>
      <c r="F3" s="1152"/>
      <c r="G3" s="1152"/>
      <c r="H3" s="1166"/>
    </row>
    <row r="4" spans="1:12" ht="24" thickBot="1">
      <c r="B4" s="1167" t="s">
        <v>656</v>
      </c>
      <c r="C4" s="1154"/>
      <c r="D4" s="1154"/>
      <c r="E4" s="1154"/>
      <c r="F4" s="1154"/>
      <c r="G4" s="1154"/>
      <c r="H4" s="1168"/>
    </row>
    <row r="6" spans="1:12" ht="21" customHeight="1">
      <c r="B6" s="1169" t="s">
        <v>657</v>
      </c>
      <c r="C6" s="1169"/>
      <c r="D6" s="1169"/>
      <c r="E6" s="1169"/>
      <c r="F6" s="1169"/>
      <c r="G6" s="1169"/>
      <c r="H6" s="1169"/>
    </row>
    <row r="7" spans="1:12" ht="21" customHeight="1">
      <c r="B7" s="1169"/>
      <c r="C7" s="1169"/>
      <c r="D7" s="1169"/>
      <c r="E7" s="1169"/>
      <c r="F7" s="1169"/>
      <c r="G7" s="1169"/>
      <c r="H7" s="1169"/>
    </row>
    <row r="8" spans="1:12" ht="15" thickBot="1"/>
    <row r="9" spans="1:12" ht="21.6" thickBot="1">
      <c r="B9" s="1163" t="s">
        <v>658</v>
      </c>
      <c r="C9" s="1164"/>
      <c r="D9" s="1164"/>
      <c r="E9" s="1164"/>
      <c r="F9" s="1164"/>
      <c r="G9" s="1164"/>
      <c r="H9" s="1165"/>
    </row>
    <row r="11" spans="1:12" ht="21" customHeight="1">
      <c r="B11" s="100" t="s">
        <v>659</v>
      </c>
      <c r="C11" s="534"/>
      <c r="D11" s="534"/>
      <c r="E11" s="534"/>
      <c r="F11" s="534"/>
      <c r="G11" s="534"/>
      <c r="H11" s="534"/>
    </row>
    <row r="12" spans="1:12" ht="15" thickBot="1">
      <c r="A12" s="535"/>
      <c r="B12" s="536"/>
      <c r="C12" s="536"/>
    </row>
    <row r="13" spans="1:12" ht="58.5" thickBot="1">
      <c r="A13" s="537" t="s">
        <v>660</v>
      </c>
      <c r="B13" s="538" t="s">
        <v>661</v>
      </c>
      <c r="C13" s="538" t="s">
        <v>187</v>
      </c>
      <c r="D13" s="538" t="s">
        <v>662</v>
      </c>
      <c r="E13" s="538" t="s">
        <v>663</v>
      </c>
      <c r="F13" s="538" t="s">
        <v>664</v>
      </c>
      <c r="G13" s="538" t="s">
        <v>665</v>
      </c>
      <c r="H13" s="538" t="s">
        <v>666</v>
      </c>
    </row>
    <row r="14" spans="1:12" ht="15" thickBot="1">
      <c r="A14" s="539">
        <v>1</v>
      </c>
      <c r="B14" s="539" t="s">
        <v>107</v>
      </c>
      <c r="C14" s="540">
        <f>+'A2.Operating Plan'!D11</f>
        <v>0</v>
      </c>
      <c r="D14" s="540">
        <v>0</v>
      </c>
      <c r="E14" s="541">
        <v>0</v>
      </c>
      <c r="F14" s="540">
        <v>0</v>
      </c>
      <c r="G14" s="540">
        <f>D14+E14+F14</f>
        <v>0</v>
      </c>
      <c r="H14" s="540">
        <f>C14-G14</f>
        <v>0</v>
      </c>
    </row>
    <row r="15" spans="1:12" ht="15" thickBot="1">
      <c r="A15" s="539">
        <v>2</v>
      </c>
      <c r="B15" s="539" t="s">
        <v>108</v>
      </c>
      <c r="C15" s="540">
        <f>+'A2.Operating Plan'!D12</f>
        <v>0</v>
      </c>
      <c r="D15" s="540">
        <v>0</v>
      </c>
      <c r="E15" s="541">
        <v>0</v>
      </c>
      <c r="F15" s="540">
        <v>0</v>
      </c>
      <c r="G15" s="540">
        <f t="shared" ref="G15:G22" si="0">D15+E15+F15</f>
        <v>0</v>
      </c>
      <c r="H15" s="540">
        <f t="shared" ref="H15:H20" si="1">C15-G15</f>
        <v>0</v>
      </c>
      <c r="K15" s="6"/>
      <c r="L15" s="6"/>
    </row>
    <row r="16" spans="1:12" ht="15" thickBot="1">
      <c r="A16" s="539">
        <v>3</v>
      </c>
      <c r="B16" s="539" t="s">
        <v>109</v>
      </c>
      <c r="C16" s="540">
        <f>+'A2.Operating Plan'!D13</f>
        <v>0</v>
      </c>
      <c r="D16" s="540">
        <v>0</v>
      </c>
      <c r="E16" s="541">
        <v>0</v>
      </c>
      <c r="F16" s="540">
        <v>0</v>
      </c>
      <c r="G16" s="540">
        <f t="shared" si="0"/>
        <v>0</v>
      </c>
      <c r="H16" s="540">
        <f t="shared" si="1"/>
        <v>0</v>
      </c>
    </row>
    <row r="17" spans="1:12" ht="15" thickBot="1">
      <c r="A17" s="539">
        <v>5</v>
      </c>
      <c r="B17" s="539" t="s">
        <v>110</v>
      </c>
      <c r="C17" s="540">
        <f>+'A2.Operating Plan'!D14</f>
        <v>0</v>
      </c>
      <c r="D17" s="540">
        <v>0</v>
      </c>
      <c r="E17" s="541">
        <v>0</v>
      </c>
      <c r="F17" s="540">
        <v>0</v>
      </c>
      <c r="G17" s="540">
        <f t="shared" si="0"/>
        <v>0</v>
      </c>
      <c r="H17" s="540">
        <f t="shared" si="1"/>
        <v>0</v>
      </c>
    </row>
    <row r="18" spans="1:12" ht="15" thickBot="1">
      <c r="A18" s="539">
        <v>6</v>
      </c>
      <c r="B18" s="539" t="s">
        <v>112</v>
      </c>
      <c r="C18" s="540">
        <f>+'A2.Operating Plan'!D15</f>
        <v>0</v>
      </c>
      <c r="D18" s="540">
        <v>0</v>
      </c>
      <c r="E18" s="541">
        <v>0</v>
      </c>
      <c r="F18" s="540">
        <v>0</v>
      </c>
      <c r="G18" s="540">
        <f t="shared" si="0"/>
        <v>0</v>
      </c>
      <c r="H18" s="540">
        <f t="shared" si="1"/>
        <v>0</v>
      </c>
    </row>
    <row r="19" spans="1:12" ht="15" thickBot="1">
      <c r="A19" s="539">
        <v>7</v>
      </c>
      <c r="B19" s="539" t="s">
        <v>667</v>
      </c>
      <c r="C19" s="540">
        <f>+'A2.Operating Plan'!D16</f>
        <v>0</v>
      </c>
      <c r="D19" s="540">
        <v>0</v>
      </c>
      <c r="E19" s="541">
        <v>0</v>
      </c>
      <c r="F19" s="540">
        <v>0</v>
      </c>
      <c r="G19" s="540">
        <f t="shared" si="0"/>
        <v>0</v>
      </c>
      <c r="H19" s="540">
        <f t="shared" si="1"/>
        <v>0</v>
      </c>
    </row>
    <row r="20" spans="1:12" ht="29.45" thickBot="1">
      <c r="A20" s="539">
        <v>8</v>
      </c>
      <c r="B20" s="539" t="s">
        <v>668</v>
      </c>
      <c r="C20" s="540">
        <f>'A2.Operating Plan'!D18</f>
        <v>0</v>
      </c>
      <c r="D20" s="540">
        <v>0</v>
      </c>
      <c r="E20" s="541">
        <v>0</v>
      </c>
      <c r="F20" s="540">
        <v>0</v>
      </c>
      <c r="G20" s="540">
        <f t="shared" si="0"/>
        <v>0</v>
      </c>
      <c r="H20" s="540">
        <f t="shared" si="1"/>
        <v>0</v>
      </c>
    </row>
    <row r="21" spans="1:12" ht="20.45" thickBot="1">
      <c r="A21" s="539">
        <v>9</v>
      </c>
      <c r="B21" s="539" t="s">
        <v>669</v>
      </c>
      <c r="C21" s="540">
        <v>0</v>
      </c>
      <c r="D21" s="540">
        <v>0</v>
      </c>
      <c r="E21" s="542">
        <f>ROUND('A7. 2025 CWELCC'!E75-'A7. 2025 CWELCC'!E65,2)</f>
        <v>0</v>
      </c>
      <c r="F21" s="540">
        <v>0</v>
      </c>
      <c r="G21" s="540">
        <f t="shared" si="0"/>
        <v>0</v>
      </c>
      <c r="H21" s="540">
        <f>C21-E21</f>
        <v>0</v>
      </c>
    </row>
    <row r="22" spans="1:12" ht="15" thickBot="1">
      <c r="A22" s="539">
        <v>10</v>
      </c>
      <c r="B22" s="539" t="s">
        <v>575</v>
      </c>
      <c r="C22" s="540">
        <v>0</v>
      </c>
      <c r="D22" s="540">
        <v>0</v>
      </c>
      <c r="E22" s="540">
        <v>0</v>
      </c>
      <c r="F22" s="540">
        <v>0</v>
      </c>
      <c r="G22" s="540">
        <f t="shared" si="0"/>
        <v>0</v>
      </c>
      <c r="H22" s="540">
        <f>C22-E22</f>
        <v>0</v>
      </c>
    </row>
    <row r="23" spans="1:12" ht="15" thickBot="1">
      <c r="A23" s="539"/>
      <c r="B23" s="539" t="s">
        <v>171</v>
      </c>
      <c r="C23" s="543">
        <f t="shared" ref="C23:G23" si="2">SUM(C14:C22)</f>
        <v>0</v>
      </c>
      <c r="D23" s="543">
        <f t="shared" si="2"/>
        <v>0</v>
      </c>
      <c r="E23" s="543">
        <f t="shared" si="2"/>
        <v>0</v>
      </c>
      <c r="F23" s="543">
        <f t="shared" si="2"/>
        <v>0</v>
      </c>
      <c r="G23" s="543">
        <f t="shared" si="2"/>
        <v>0</v>
      </c>
      <c r="H23" s="544">
        <f>MAX(0,ROUND(SUM(H14:H22),2))</f>
        <v>0</v>
      </c>
      <c r="J23" s="170"/>
      <c r="K23" s="52"/>
      <c r="L23" s="170"/>
    </row>
    <row r="24" spans="1:12">
      <c r="A24" s="7"/>
      <c r="B24" s="7"/>
      <c r="C24" s="545"/>
      <c r="D24" s="545"/>
      <c r="E24" s="545"/>
      <c r="F24" s="545"/>
      <c r="G24" s="545"/>
      <c r="H24" s="545"/>
      <c r="J24" s="52"/>
      <c r="K24" s="170"/>
    </row>
    <row r="25" spans="1:12">
      <c r="A25" s="7"/>
      <c r="B25" s="7"/>
      <c r="C25" s="545"/>
      <c r="D25" s="545"/>
      <c r="E25" s="545"/>
      <c r="F25" s="545"/>
      <c r="G25" s="545"/>
      <c r="H25" s="545"/>
      <c r="J25" s="170"/>
      <c r="K25" s="52"/>
    </row>
    <row r="26" spans="1:12" ht="15" thickBot="1">
      <c r="A26" s="7"/>
      <c r="B26" s="7"/>
      <c r="C26" s="545"/>
      <c r="D26" s="545"/>
      <c r="E26" s="545"/>
      <c r="F26" s="545"/>
      <c r="G26" s="545"/>
      <c r="H26" s="545"/>
      <c r="K26" s="170"/>
    </row>
    <row r="27" spans="1:12" ht="21.6" thickBot="1">
      <c r="A27" s="7"/>
      <c r="B27" s="1163" t="s">
        <v>670</v>
      </c>
      <c r="C27" s="1164"/>
      <c r="D27" s="1164"/>
      <c r="E27" s="1164"/>
      <c r="F27" s="1164"/>
      <c r="G27" s="1164"/>
      <c r="H27" s="1165"/>
    </row>
    <row r="28" spans="1:12" ht="21">
      <c r="A28" s="7"/>
      <c r="B28" s="546"/>
      <c r="C28" s="546"/>
      <c r="D28" s="546"/>
      <c r="E28" s="546"/>
      <c r="F28" s="546"/>
      <c r="G28" s="546"/>
      <c r="H28" s="545"/>
    </row>
    <row r="29" spans="1:12" ht="15" thickBot="1">
      <c r="K29" s="52"/>
    </row>
    <row r="30" spans="1:12" ht="58.5" thickBot="1">
      <c r="A30" s="537" t="s">
        <v>660</v>
      </c>
      <c r="B30" s="538" t="s">
        <v>661</v>
      </c>
      <c r="C30" s="538" t="s">
        <v>187</v>
      </c>
      <c r="D30" s="538" t="s">
        <v>662</v>
      </c>
      <c r="E30" s="538" t="s">
        <v>663</v>
      </c>
      <c r="F30" s="538" t="s">
        <v>664</v>
      </c>
      <c r="G30" s="538" t="s">
        <v>665</v>
      </c>
      <c r="H30" s="538" t="s">
        <v>666</v>
      </c>
      <c r="J30" s="170"/>
    </row>
    <row r="31" spans="1:12" ht="20.45" thickBot="1">
      <c r="A31" s="539">
        <v>1</v>
      </c>
      <c r="B31" s="539" t="s">
        <v>588</v>
      </c>
      <c r="C31" s="540">
        <f>'A2.Operating Plan'!D20</f>
        <v>0</v>
      </c>
      <c r="D31" s="540">
        <v>0</v>
      </c>
      <c r="E31" s="542">
        <f>ROUND('A7. 2025 CWELCC'!E65,2)</f>
        <v>0</v>
      </c>
      <c r="F31" s="540">
        <v>0</v>
      </c>
      <c r="G31" s="540">
        <v>0</v>
      </c>
      <c r="H31" s="547">
        <f>C31-E31</f>
        <v>0</v>
      </c>
      <c r="J31" s="548"/>
      <c r="K31" s="429"/>
    </row>
    <row r="34" spans="1:13" ht="21.6" hidden="1" thickBot="1">
      <c r="B34" s="1163" t="s">
        <v>671</v>
      </c>
      <c r="C34" s="1164"/>
      <c r="D34" s="1164"/>
      <c r="E34" s="1164"/>
      <c r="F34" s="1164"/>
      <c r="G34" s="1164"/>
      <c r="H34" s="1165"/>
    </row>
    <row r="35" spans="1:13" ht="15" hidden="1" thickBot="1"/>
    <row r="36" spans="1:13" ht="58.5" hidden="1" thickBot="1">
      <c r="A36" s="549" t="s">
        <v>660</v>
      </c>
      <c r="B36" s="538" t="s">
        <v>661</v>
      </c>
      <c r="C36" s="538" t="s">
        <v>187</v>
      </c>
      <c r="D36" s="538" t="s">
        <v>662</v>
      </c>
      <c r="E36" s="538" t="s">
        <v>663</v>
      </c>
      <c r="F36" s="538" t="s">
        <v>664</v>
      </c>
      <c r="G36" s="538" t="s">
        <v>665</v>
      </c>
      <c r="H36" s="538" t="s">
        <v>666</v>
      </c>
    </row>
    <row r="37" spans="1:13" ht="20.45" hidden="1" thickBot="1">
      <c r="A37" s="550">
        <v>1</v>
      </c>
      <c r="B37" s="551" t="s">
        <v>672</v>
      </c>
      <c r="C37" s="540">
        <f>'A3. Peel Region Grants'!C108</f>
        <v>0</v>
      </c>
      <c r="D37" s="540">
        <v>0</v>
      </c>
      <c r="E37" s="542">
        <f>IF(C37&lt;'A7. 2025 CWELCC'!C119,C37,'A7. 2025 CWELCC'!C119)</f>
        <v>0</v>
      </c>
      <c r="F37" s="540">
        <v>0</v>
      </c>
      <c r="G37" s="540">
        <v>0</v>
      </c>
      <c r="H37" s="547">
        <f>C37-E37</f>
        <v>0</v>
      </c>
      <c r="I37" s="552" t="str">
        <f>'A7. 2025 CWELCC'!B46</f>
        <v xml:space="preserve"> </v>
      </c>
    </row>
    <row r="38" spans="1:13" ht="20.45" hidden="1" thickBot="1">
      <c r="A38" s="553">
        <v>2</v>
      </c>
      <c r="B38" s="551" t="s">
        <v>673</v>
      </c>
      <c r="C38" s="540">
        <f>'A3. Peel Region Grants'!C68</f>
        <v>0</v>
      </c>
      <c r="D38" s="540">
        <v>0</v>
      </c>
      <c r="E38" s="542">
        <f>MIN('A3. Peel Region Grants'!C82,C38)</f>
        <v>0</v>
      </c>
      <c r="F38" s="540">
        <v>0</v>
      </c>
      <c r="G38" s="540">
        <v>0</v>
      </c>
      <c r="H38" s="547">
        <f>C38-E38</f>
        <v>0</v>
      </c>
      <c r="I38" s="552" t="str">
        <f>IF(E38='A3. Peel Region Grants'!C68," ",IF('A3. Peel Region Grants'!C54="No","Please complete the GovGrants reconciliation when the project is complete, using tab a3 OTEF major capital section", " "))</f>
        <v xml:space="preserve"> </v>
      </c>
      <c r="J38" s="552"/>
      <c r="K38" s="552"/>
      <c r="L38" s="552"/>
      <c r="M38" s="552"/>
    </row>
  </sheetData>
  <sheetProtection algorithmName="SHA-512" hashValue="5C3dONR37LuOgcTFQesbacpvaLxq8c7PHb7hEKzgLv5Q3+jZzzsLel1o9QeDFgPgfh3XbHakwFzeYG50TI5OpA==" saltValue="XwAlrmtjWdS7BaYGTToX2A==" spinCount="100000" sheet="1" objects="1" scenarios="1"/>
  <mergeCells count="7">
    <mergeCell ref="B1:H1"/>
    <mergeCell ref="B34:H34"/>
    <mergeCell ref="B3:H3"/>
    <mergeCell ref="B4:H4"/>
    <mergeCell ref="B9:H9"/>
    <mergeCell ref="B27:H27"/>
    <mergeCell ref="B6:H7"/>
  </mergeCells>
  <conditionalFormatting sqref="H21">
    <cfRule type="cellIs" dxfId="17" priority="1" operator="lessThan">
      <formula>0</formula>
    </cfRule>
  </conditionalFormatting>
  <pageMargins left="0.75" right="0.75" top="1" bottom="1" header="0.5" footer="0.5"/>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33F29-6C00-414F-99EE-F47059B976C6}">
  <sheetPr>
    <tabColor theme="4" tint="0.59999389629810485"/>
  </sheetPr>
  <dimension ref="B1:P44"/>
  <sheetViews>
    <sheetView showGridLines="0" workbookViewId="0">
      <selection activeCell="H1" sqref="H1:I2"/>
    </sheetView>
  </sheetViews>
  <sheetFormatPr defaultColWidth="9.140625" defaultRowHeight="14.45"/>
  <cols>
    <col min="1" max="1" width="5.42578125" customWidth="1"/>
    <col min="2" max="2" width="43.28515625" customWidth="1"/>
    <col min="3" max="3" width="18.5703125" customWidth="1"/>
    <col min="4" max="4" width="16.42578125" customWidth="1"/>
    <col min="5" max="5" width="19.28515625" customWidth="1"/>
    <col min="6" max="6" width="19.85546875" customWidth="1"/>
    <col min="7" max="7" width="36.85546875" customWidth="1"/>
    <col min="8" max="8" width="18.28515625" customWidth="1"/>
    <col min="10" max="10" width="14.28515625" bestFit="1" customWidth="1"/>
    <col min="11" max="11" width="11.85546875" customWidth="1"/>
    <col min="13" max="13" width="12" customWidth="1"/>
  </cols>
  <sheetData>
    <row r="1" spans="2:11" ht="26.25" customHeight="1">
      <c r="B1" s="1170" t="s">
        <v>674</v>
      </c>
      <c r="C1" s="1171"/>
      <c r="D1" s="1171"/>
      <c r="E1" s="1171"/>
      <c r="F1" s="1171"/>
      <c r="G1" s="1172"/>
      <c r="H1" s="106" t="s">
        <v>1</v>
      </c>
      <c r="I1" s="107" t="str">
        <f>IF('A1. Identification'!$D$13=0, " ",'A1. Identification'!$D$13)</f>
        <v xml:space="preserve"> </v>
      </c>
    </row>
    <row r="2" spans="2:11" ht="26.1">
      <c r="B2" s="1173" t="s">
        <v>675</v>
      </c>
      <c r="C2" s="1174"/>
      <c r="D2" s="1174"/>
      <c r="E2" s="1174"/>
      <c r="F2" s="1174"/>
      <c r="G2" s="1175"/>
      <c r="H2" s="106" t="s">
        <v>3</v>
      </c>
      <c r="I2" s="107" t="str">
        <f>'A8. GovGrants input'!J2</f>
        <v>Please enter Ministry licence number on tab A6 row 7</v>
      </c>
    </row>
    <row r="3" spans="2:11" ht="24" customHeight="1"/>
    <row r="4" spans="2:11" ht="23.45">
      <c r="B4" s="1151" t="str">
        <f>IF('A1. Identification'!D7=0, "Financial Annual Information Return (FAIR) and 2025 CWELCC Reconciliation for LHCC (Peel Overseeing SSM)",'A1. Identification'!D7)</f>
        <v>Financial Annual Information Return (FAIR) and 2025 CWELCC Reconciliation for LHCC (Peel Overseeing SSM)</v>
      </c>
      <c r="C4" s="1152"/>
      <c r="D4" s="1152"/>
      <c r="E4" s="1152"/>
      <c r="F4" s="1152"/>
      <c r="G4" s="1152"/>
    </row>
    <row r="5" spans="2:11" ht="23.45">
      <c r="B5" s="1151" t="s">
        <v>676</v>
      </c>
      <c r="C5" s="1152"/>
      <c r="D5" s="1152"/>
      <c r="E5" s="1152"/>
      <c r="F5" s="1152"/>
      <c r="G5" s="1152"/>
    </row>
    <row r="6" spans="2:11" ht="23.45">
      <c r="B6" s="1151" t="s">
        <v>677</v>
      </c>
      <c r="C6" s="1152"/>
      <c r="D6" s="1152"/>
      <c r="E6" s="1152"/>
      <c r="F6" s="1152"/>
      <c r="G6" s="1152"/>
    </row>
    <row r="7" spans="2:11" ht="16.5" customHeight="1">
      <c r="B7" s="1081" t="s">
        <v>678</v>
      </c>
      <c r="C7" s="1081"/>
      <c r="D7" s="1081"/>
      <c r="E7" s="1081"/>
      <c r="F7" s="1081"/>
    </row>
    <row r="8" spans="2:11" ht="53.25" customHeight="1">
      <c r="B8" s="1081"/>
      <c r="C8" s="1081"/>
      <c r="D8" s="1081"/>
      <c r="E8" s="1081"/>
      <c r="F8" s="1081"/>
    </row>
    <row r="9" spans="2:11" ht="21" customHeight="1" thickBot="1">
      <c r="B9" s="554"/>
      <c r="C9" s="554"/>
      <c r="D9" s="554"/>
      <c r="E9" s="554"/>
      <c r="F9" s="555"/>
    </row>
    <row r="10" spans="2:11" ht="27" customHeight="1" thickBot="1">
      <c r="B10" s="556" t="s">
        <v>679</v>
      </c>
      <c r="C10" s="556" t="s">
        <v>680</v>
      </c>
      <c r="D10" s="557" t="s">
        <v>681</v>
      </c>
      <c r="E10" s="558" t="s">
        <v>682</v>
      </c>
      <c r="F10" s="559" t="s">
        <v>683</v>
      </c>
      <c r="H10" s="52"/>
      <c r="J10" s="52"/>
      <c r="K10" s="52"/>
    </row>
    <row r="11" spans="2:11" ht="15.6">
      <c r="B11" s="560" t="s">
        <v>684</v>
      </c>
      <c r="C11" s="561"/>
      <c r="D11" s="562"/>
      <c r="E11" s="563"/>
      <c r="F11" s="564"/>
    </row>
    <row r="12" spans="2:11" ht="15.6">
      <c r="B12" s="565" t="s">
        <v>685</v>
      </c>
      <c r="C12" s="566">
        <f>'A2.Operating Plan'!D19</f>
        <v>0</v>
      </c>
      <c r="D12" s="567">
        <f>MIN('A7. 2025 CWELCC'!E75-'A7. 2025 CWELCC'!E65,C12)</f>
        <v>0</v>
      </c>
      <c r="E12" s="568">
        <f>ROUND(C12-D12,2)</f>
        <v>0</v>
      </c>
      <c r="F12" s="569"/>
    </row>
    <row r="13" spans="2:11" ht="15.6">
      <c r="B13" s="565" t="s">
        <v>686</v>
      </c>
      <c r="C13" s="566">
        <f>'A2.Operating Plan'!D20</f>
        <v>0</v>
      </c>
      <c r="D13" s="567">
        <f>MIN('A7. 2025 CWELCC'!E65,C13)</f>
        <v>0</v>
      </c>
      <c r="E13" s="568">
        <f>ROUND(C13-D13,2)</f>
        <v>0</v>
      </c>
      <c r="F13" s="569"/>
      <c r="G13" s="552" t="str">
        <f>IF(E13&gt;0,"* In Lieu of Profit/Surplus recovery resulting from underspending of Program Cost Allocation"," ")</f>
        <v xml:space="preserve"> </v>
      </c>
    </row>
    <row r="14" spans="2:11" ht="15.6" hidden="1">
      <c r="B14" s="565" t="s">
        <v>687</v>
      </c>
      <c r="C14" s="566">
        <f>'A3. Peel Region Grants'!C108</f>
        <v>0</v>
      </c>
      <c r="D14" s="567">
        <f>IFERROR(MIN('A7. 2025 CWELCC'!C119,C14),0)</f>
        <v>0</v>
      </c>
      <c r="E14" s="568">
        <f>C14-D14</f>
        <v>0</v>
      </c>
      <c r="F14" s="570"/>
      <c r="G14" s="552" t="str">
        <f>'A8. GovGrants input'!I37</f>
        <v xml:space="preserve"> </v>
      </c>
    </row>
    <row r="15" spans="2:11" ht="15.95" thickBot="1">
      <c r="B15" s="571" t="s">
        <v>688</v>
      </c>
      <c r="C15" s="572">
        <f>SUM(C12:C14)</f>
        <v>0</v>
      </c>
      <c r="D15" s="573">
        <f>SUM(D12:D14)</f>
        <v>0</v>
      </c>
      <c r="E15" s="574">
        <f>SUM(E12:E14)</f>
        <v>0</v>
      </c>
      <c r="F15" s="570"/>
    </row>
    <row r="16" spans="2:11" ht="15.95" thickBot="1">
      <c r="B16" s="575" t="s">
        <v>689</v>
      </c>
      <c r="C16" s="576">
        <f>'A3. Peel Region Grants'!C160</f>
        <v>0</v>
      </c>
      <c r="D16" s="577">
        <f>MIN('A3. Peel Region Grants'!D160,C16)</f>
        <v>0</v>
      </c>
      <c r="E16" s="576">
        <f>C16-D16</f>
        <v>0</v>
      </c>
      <c r="F16" s="578"/>
      <c r="G16" s="6"/>
      <c r="H16" s="6"/>
      <c r="I16" s="6"/>
      <c r="J16" s="6"/>
      <c r="K16" s="6"/>
    </row>
    <row r="17" spans="2:16" ht="14.25" customHeight="1" thickBot="1">
      <c r="B17" s="575" t="s">
        <v>690</v>
      </c>
      <c r="C17" s="576">
        <f>'A3. Peel Region Grants'!D40</f>
        <v>0</v>
      </c>
      <c r="D17" s="577">
        <f>MIN('A3. Peel Region Grants'!E40,C17)</f>
        <v>0</v>
      </c>
      <c r="E17" s="576">
        <f>C17-D17</f>
        <v>0</v>
      </c>
      <c r="F17" s="578"/>
    </row>
    <row r="18" spans="2:16" ht="15.95" thickBot="1">
      <c r="B18" s="575" t="s">
        <v>237</v>
      </c>
      <c r="C18" s="576">
        <f>'A3. Peel Region Grants'!C130</f>
        <v>0</v>
      </c>
      <c r="D18" s="577">
        <f>MIN('A3. Peel Region Grants'!D130,C18)</f>
        <v>0</v>
      </c>
      <c r="E18" s="576">
        <f>C18-D18</f>
        <v>0</v>
      </c>
      <c r="F18" s="578"/>
    </row>
    <row r="19" spans="2:16" ht="15.6">
      <c r="B19" s="560" t="s">
        <v>691</v>
      </c>
      <c r="C19" s="579"/>
      <c r="D19" s="580"/>
      <c r="E19" s="581"/>
      <c r="F19" s="564"/>
    </row>
    <row r="20" spans="2:16" ht="15.6">
      <c r="B20" s="565" t="s">
        <v>692</v>
      </c>
      <c r="C20" s="582">
        <f>'A3. Peel Region Grants'!C141</f>
        <v>0</v>
      </c>
      <c r="D20" s="582">
        <f>MIN('A3. Peel Region Grants'!D141,C20)</f>
        <v>0</v>
      </c>
      <c r="E20" s="582">
        <f>'A3. Peel Region Grants'!E141</f>
        <v>0</v>
      </c>
      <c r="F20" s="583">
        <f>'A3. Peel Region Grants'!F141</f>
        <v>0</v>
      </c>
    </row>
    <row r="21" spans="2:16" ht="15.6" hidden="1">
      <c r="B21" s="565" t="s">
        <v>693</v>
      </c>
      <c r="C21" s="584">
        <f>'A3. Peel Region Grants'!C68</f>
        <v>0</v>
      </c>
      <c r="D21" s="585">
        <f>MIN('A3. Peel Region Grants'!D82,C21)</f>
        <v>0</v>
      </c>
      <c r="E21" s="586">
        <f>IF(F21&gt;1,0,C21-D21)</f>
        <v>0</v>
      </c>
      <c r="F21" s="587">
        <f>'A3. Peel Region Grants'!D74</f>
        <v>0</v>
      </c>
      <c r="G21" s="552"/>
    </row>
    <row r="22" spans="2:16" ht="15.95" thickBot="1">
      <c r="B22" s="571" t="s">
        <v>694</v>
      </c>
      <c r="C22" s="572">
        <f>SUM(C20:C21)</f>
        <v>0</v>
      </c>
      <c r="D22" s="573">
        <f>SUM(D20:D21)</f>
        <v>0</v>
      </c>
      <c r="E22" s="574">
        <f>SUM(E20:E21)</f>
        <v>0</v>
      </c>
      <c r="F22" s="573">
        <f>SUM(F20:F21)</f>
        <v>0</v>
      </c>
    </row>
    <row r="23" spans="2:16" ht="15.6">
      <c r="B23" s="588" t="s">
        <v>695</v>
      </c>
      <c r="C23" s="589"/>
      <c r="D23" s="590"/>
      <c r="E23" s="591"/>
      <c r="F23" s="592"/>
      <c r="P23" s="593"/>
    </row>
    <row r="24" spans="2:16" ht="15.6">
      <c r="B24" s="597" t="s">
        <v>696</v>
      </c>
      <c r="C24" s="615"/>
      <c r="D24" s="616"/>
      <c r="E24" s="617"/>
      <c r="F24" s="616"/>
    </row>
    <row r="25" spans="2:16" ht="15.95" thickBot="1">
      <c r="B25" s="594" t="s">
        <v>697</v>
      </c>
      <c r="C25" s="595">
        <f>++C22+C15+C16+C17+C18+C24</f>
        <v>0</v>
      </c>
      <c r="D25" s="595">
        <f>++D22+D15+D16+D17+D18+D24</f>
        <v>0</v>
      </c>
      <c r="E25" s="595">
        <f>++E22+E15+E16+E17+E18+E24</f>
        <v>0</v>
      </c>
      <c r="F25" s="596">
        <f>F24+F22</f>
        <v>0</v>
      </c>
    </row>
    <row r="26" spans="2:16" ht="15.6">
      <c r="B26" s="13"/>
      <c r="C26" s="13"/>
      <c r="D26" s="13"/>
      <c r="E26" s="13"/>
      <c r="F26" s="13"/>
    </row>
    <row r="27" spans="2:16" ht="15.6">
      <c r="B27" s="13"/>
      <c r="C27" s="13"/>
      <c r="D27" s="13"/>
      <c r="E27" s="13"/>
      <c r="F27" s="13"/>
    </row>
    <row r="28" spans="2:16" ht="15.6">
      <c r="B28" s="13"/>
      <c r="C28" s="13"/>
      <c r="D28" s="13"/>
      <c r="E28" s="13"/>
      <c r="F28" s="13"/>
    </row>
    <row r="29" spans="2:16" ht="15.6">
      <c r="B29" s="13"/>
      <c r="C29" s="13"/>
      <c r="D29" s="13"/>
      <c r="E29" s="13"/>
      <c r="F29" s="13"/>
    </row>
    <row r="30" spans="2:16" ht="15.6">
      <c r="B30" s="13"/>
      <c r="C30" s="13"/>
      <c r="D30" s="13"/>
      <c r="E30" s="13"/>
      <c r="F30" s="13"/>
    </row>
    <row r="31" spans="2:16" ht="15.6">
      <c r="B31" s="13"/>
      <c r="C31" s="13"/>
      <c r="D31" s="13"/>
      <c r="E31" s="13"/>
      <c r="F31" s="13"/>
    </row>
    <row r="32" spans="2:16" ht="15.6">
      <c r="B32" s="13"/>
      <c r="C32" s="13"/>
      <c r="D32" s="13"/>
      <c r="E32" s="13"/>
      <c r="F32" s="13"/>
    </row>
    <row r="33" spans="2:6" ht="15.6">
      <c r="B33" s="13"/>
      <c r="C33" s="13"/>
      <c r="D33" s="13"/>
      <c r="E33" s="13"/>
      <c r="F33" s="13"/>
    </row>
    <row r="34" spans="2:6" ht="15.6">
      <c r="B34" s="13"/>
      <c r="C34" s="13"/>
      <c r="D34" s="13"/>
      <c r="E34" s="13"/>
      <c r="F34" s="13"/>
    </row>
    <row r="35" spans="2:6" ht="15.6">
      <c r="B35" s="13"/>
      <c r="C35" s="13"/>
      <c r="D35" s="13"/>
      <c r="E35" s="13"/>
      <c r="F35" s="13"/>
    </row>
    <row r="36" spans="2:6" ht="15.6">
      <c r="B36" s="13"/>
      <c r="C36" s="13"/>
      <c r="D36" s="13"/>
      <c r="E36" s="13"/>
      <c r="F36" s="13"/>
    </row>
    <row r="37" spans="2:6" ht="15.6">
      <c r="B37" s="13"/>
      <c r="C37" s="13"/>
      <c r="D37" s="13"/>
      <c r="E37" s="13"/>
      <c r="F37" s="13"/>
    </row>
    <row r="38" spans="2:6" ht="15.6">
      <c r="B38" s="13"/>
      <c r="C38" s="13"/>
      <c r="D38" s="13"/>
      <c r="E38" s="13"/>
      <c r="F38" s="13"/>
    </row>
    <row r="39" spans="2:6" ht="15.6">
      <c r="B39" s="13"/>
      <c r="C39" s="13"/>
      <c r="D39" s="13"/>
      <c r="E39" s="13"/>
      <c r="F39" s="13"/>
    </row>
    <row r="40" spans="2:6" ht="15.6">
      <c r="B40" s="13"/>
      <c r="C40" s="13"/>
      <c r="D40" s="13"/>
      <c r="E40" s="13"/>
      <c r="F40" s="13"/>
    </row>
    <row r="41" spans="2:6" ht="15.6">
      <c r="B41" s="13"/>
      <c r="C41" s="13"/>
      <c r="D41" s="13"/>
      <c r="E41" s="13"/>
      <c r="F41" s="13"/>
    </row>
    <row r="42" spans="2:6" ht="15.6">
      <c r="B42" s="13"/>
      <c r="C42" s="13"/>
      <c r="D42" s="13"/>
      <c r="E42" s="13"/>
      <c r="F42" s="13"/>
    </row>
    <row r="43" spans="2:6" ht="15.6">
      <c r="B43" s="13"/>
      <c r="C43" s="13"/>
      <c r="D43" s="13"/>
      <c r="E43" s="13"/>
      <c r="F43" s="13"/>
    </row>
    <row r="44" spans="2:6" ht="15.6">
      <c r="B44" s="13"/>
      <c r="C44" s="13"/>
      <c r="D44" s="13"/>
      <c r="E44" s="13"/>
      <c r="F44" s="13"/>
    </row>
  </sheetData>
  <sheetProtection algorithmName="SHA-512" hashValue="bWcISZmoW6urHpCc02fkes0uu+TQTIovJ1vw4UXINwRoQf9a+Zs45/C7Q3p2OcpondxULBNJlS2pk+ZCXdbyVA==" saltValue="m5Pqv9HGSCrogD1lylxbjw==" spinCount="100000" sheet="1" objects="1" scenarios="1"/>
  <mergeCells count="6">
    <mergeCell ref="B7:F8"/>
    <mergeCell ref="B4:G4"/>
    <mergeCell ref="B5:G5"/>
    <mergeCell ref="B6:G6"/>
    <mergeCell ref="B1:G1"/>
    <mergeCell ref="B2:G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b84c496a5d0b4e848eae240e679f45e7 xmlns="821ebe7e-5b53-4faa-abb9-4a80eed697b5">
      <Terms xmlns="http://schemas.microsoft.com/office/infopath/2007/PartnerControls">
        <TermInfo xmlns="http://schemas.microsoft.com/office/infopath/2007/PartnerControls">
          <TermName xmlns="http://schemas.microsoft.com/office/infopath/2007/PartnerControls">Human Services</TermName>
          <TermId xmlns="http://schemas.microsoft.com/office/infopath/2007/PartnerControls">118fdf37-3eb0-4f3d-9794-08c6dc12769c</TermId>
        </TermInfo>
      </Terms>
    </b84c496a5d0b4e848eae240e679f45e7>
    <lcf76f155ced4ddcb4097134ff3c332f xmlns="165b19e7-bd48-44bc-ae9f-d38b7c2f2ede">
      <Terms xmlns="http://schemas.microsoft.com/office/infopath/2007/PartnerControls"/>
    </lcf76f155ced4ddcb4097134ff3c332f>
    <i7c7954a6da6485baed72bf62adc9a98 xmlns="821ebe7e-5b53-4faa-abb9-4a80eed697b5">
      <Terms xmlns="http://schemas.microsoft.com/office/infopath/2007/PartnerControls"/>
    </i7c7954a6da6485baed72bf62adc9a98>
    <i09ce8ea77e04d5b937fa0a29b257c75 xmlns="821ebe7e-5b53-4faa-abb9-4a80eed697b5">
      <Terms xmlns="http://schemas.microsoft.com/office/infopath/2007/PartnerControls"/>
    </i09ce8ea77e04d5b937fa0a29b257c75>
    <leed0c44d2ac42d791805961a1e6b6e0 xmlns="821ebe7e-5b53-4faa-abb9-4a80eed697b5">
      <Terms xmlns="http://schemas.microsoft.com/office/infopath/2007/PartnerControls"/>
    </leed0c44d2ac42d791805961a1e6b6e0>
    <oaba50052a024fb29595ecca5fbbaa4e xmlns="821ebe7e-5b53-4faa-abb9-4a80eed697b5">
      <Terms xmlns="http://schemas.microsoft.com/office/infopath/2007/PartnerControls">
        <TermInfo xmlns="http://schemas.microsoft.com/office/infopath/2007/PartnerControls">
          <TermName xmlns="http://schemas.microsoft.com/office/infopath/2007/PartnerControls">Early Years and Child Care Services</TermName>
          <TermId xmlns="http://schemas.microsoft.com/office/infopath/2007/PartnerControls">ce06aa10-9999-42e6-922f-4e4b46a41053</TermId>
        </TermInfo>
      </Terms>
    </oaba50052a024fb29595ecca5fbbaa4e>
    <if2ef2b6bf4346d0a9a60e9784f95a0d xmlns="821ebe7e-5b53-4faa-abb9-4a80eed697b5">
      <Terms xmlns="http://schemas.microsoft.com/office/infopath/2007/PartnerControls"/>
    </if2ef2b6bf4346d0a9a60e9784f95a0d>
    <SIZAAuthor xmlns="821ebe7e-5b53-4faa-abb9-4a80eed697b5">
      <UserInfo>
        <DisplayName/>
        <AccountId xsi:nil="true"/>
        <AccountType/>
      </UserInfo>
    </SIZAAuthor>
    <SIZADate xmlns="821ebe7e-5b53-4faa-abb9-4a80eed697b5" xsi:nil="true"/>
    <c816cc0c51d043a4907164997a81cf13 xmlns="821ebe7e-5b53-4faa-abb9-4a80eed697b5">
      <Terms xmlns="http://schemas.microsoft.com/office/infopath/2007/PartnerControls"/>
    </c816cc0c51d043a4907164997a81cf13>
    <SIZARecordsEventDate xmlns="821ebe7e-5b53-4faa-abb9-4a80eed697b5" xsi:nil="true"/>
    <d4d6d7f2852d41a09afacf0336fedee9 xmlns="821ebe7e-5b53-4faa-abb9-4a80eed697b5">
      <Terms xmlns="http://schemas.microsoft.com/office/infopath/2007/PartnerControls">
        <TermInfo xmlns="http://schemas.microsoft.com/office/infopath/2007/PartnerControls">
          <TermName xmlns="http://schemas.microsoft.com/office/infopath/2007/PartnerControls">Funding and Program Administration</TermName>
          <TermId xmlns="http://schemas.microsoft.com/office/infopath/2007/PartnerControls">bc19dac2-fc19-4cc5-8059-845f9493924a</TermId>
        </TermInfo>
      </Terms>
    </d4d6d7f2852d41a09afacf0336fedee9>
    <SIZASubject xmlns="821ebe7e-5b53-4faa-abb9-4a80eed697b5" xsi:nil="true"/>
    <TaxCatchAll xmlns="821ebe7e-5b53-4faa-abb9-4a80eed697b5">
      <Value>408</Value>
      <Value>2</Value>
      <Value>1</Value>
    </TaxCatchAll>
    <_dlc_DocId xmlns="821ebe7e-5b53-4faa-abb9-4a80eed697b5">RZVXNEC2MVYU-131264259-7801</_dlc_DocId>
    <_dlc_DocIdUrl xmlns="821ebe7e-5b53-4faa-abb9-4a80eed697b5">
      <Url>https://peelregionca.sharepoint.com/teams/S344/_layouts/15/DocIdRedir.aspx?ID=RZVXNEC2MVYU-131264259-7801</Url>
      <Description>RZVXNEC2MVYU-131264259-7801</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ROP Word" ma:contentTypeID="0x0101006450AF52053E4366878046AAF3AB30AB00F4DA677B379E004E95BE8618F936A982" ma:contentTypeVersion="30" ma:contentTypeDescription="Basis of all company Word documents." ma:contentTypeScope="" ma:versionID="5a4741a95af685b2ec19bf363ed3eb4d">
  <xsd:schema xmlns:xsd="http://www.w3.org/2001/XMLSchema" xmlns:xs="http://www.w3.org/2001/XMLSchema" xmlns:p="http://schemas.microsoft.com/office/2006/metadata/properties" xmlns:ns2="821ebe7e-5b53-4faa-abb9-4a80eed697b5" xmlns:ns3="165b19e7-bd48-44bc-ae9f-d38b7c2f2ede" targetNamespace="http://schemas.microsoft.com/office/2006/metadata/properties" ma:root="true" ma:fieldsID="12d83852e5eab7ca28e5e3e1a33a7fb4" ns2:_="" ns3:_="">
    <xsd:import namespace="821ebe7e-5b53-4faa-abb9-4a80eed697b5"/>
    <xsd:import namespace="165b19e7-bd48-44bc-ae9f-d38b7c2f2ede"/>
    <xsd:element name="properties">
      <xsd:complexType>
        <xsd:sequence>
          <xsd:element name="documentManagement">
            <xsd:complexType>
              <xsd:all>
                <xsd:element ref="ns2:_dlc_DocId" minOccurs="0"/>
                <xsd:element ref="ns2:_dlc_DocIdUrl" minOccurs="0"/>
                <xsd:element ref="ns2:_dlc_DocIdPersistId" minOccurs="0"/>
                <xsd:element ref="ns2:b84c496a5d0b4e848eae240e679f45e7" minOccurs="0"/>
                <xsd:element ref="ns2:TaxCatchAll" minOccurs="0"/>
                <xsd:element ref="ns2:TaxCatchAllLabel" minOccurs="0"/>
                <xsd:element ref="ns2:oaba50052a024fb29595ecca5fbbaa4e" minOccurs="0"/>
                <xsd:element ref="ns2:d4d6d7f2852d41a09afacf0336fedee9" minOccurs="0"/>
                <xsd:element ref="ns2:if2ef2b6bf4346d0a9a60e9784f95a0d" minOccurs="0"/>
                <xsd:element ref="ns2:i7c7954a6da6485baed72bf62adc9a98" minOccurs="0"/>
                <xsd:element ref="ns2:i09ce8ea77e04d5b937fa0a29b257c75" minOccurs="0"/>
                <xsd:element ref="ns2:SIZADate" minOccurs="0"/>
                <xsd:element ref="ns2:SIZASubject" minOccurs="0"/>
                <xsd:element ref="ns2:SIZAAuthor" minOccurs="0"/>
                <xsd:element ref="ns2:c816cc0c51d043a4907164997a81cf13" minOccurs="0"/>
                <xsd:element ref="ns2:leed0c44d2ac42d791805961a1e6b6e0" minOccurs="0"/>
                <xsd:element ref="ns2:SIZARecordsEventDate" minOccurs="0"/>
                <xsd:element ref="ns3:MediaServiceMetadata" minOccurs="0"/>
                <xsd:element ref="ns3:MediaServiceFastMetadata" minOccurs="0"/>
                <xsd:element ref="ns3:MediaServiceDateTaken" minOccurs="0"/>
                <xsd:element ref="ns3:MediaLengthInSeconds" minOccurs="0"/>
                <xsd:element ref="ns2:SharedWithUsers" minOccurs="0"/>
                <xsd:element ref="ns2:SharedWithDetails" minOccurs="0"/>
                <xsd:element ref="ns3:lcf76f155ced4ddcb4097134ff3c332f" minOccurs="0"/>
                <xsd:element ref="ns3:MediaServiceGenerationTime" minOccurs="0"/>
                <xsd:element ref="ns3:MediaServiceEventHashCode" minOccurs="0"/>
                <xsd:element ref="ns3:MediaServiceOCR"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1ebe7e-5b53-4faa-abb9-4a80eed697b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b84c496a5d0b4e848eae240e679f45e7" ma:index="11" nillable="true" ma:taxonomy="true" ma:internalName="b84c496a5d0b4e848eae240e679f45e7" ma:taxonomyFieldName="SIZADepartment" ma:displayName="Department" ma:default="1;#Human Services|118fdf37-3eb0-4f3d-9794-08c6dc12769c" ma:fieldId="{b84c496a-5d0b-4e84-8eae-240e679f45e7}" ma:sspId="fa93b17b-eca5-4df2-9431-61ba77a6f1f7" ma:termSetId="60320ae7-a7b2-4969-932f-f2bb791727f2"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ca5e71e-6d80-4314-bc5c-b8377f95adfe}" ma:internalName="TaxCatchAll" ma:showField="CatchAllData" ma:web="821ebe7e-5b53-4faa-abb9-4a80eed697b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ca5e71e-6d80-4314-bc5c-b8377f95adfe}" ma:internalName="TaxCatchAllLabel" ma:readOnly="true" ma:showField="CatchAllDataLabel" ma:web="821ebe7e-5b53-4faa-abb9-4a80eed697b5">
      <xsd:complexType>
        <xsd:complexContent>
          <xsd:extension base="dms:MultiChoiceLookup">
            <xsd:sequence>
              <xsd:element name="Value" type="dms:Lookup" maxOccurs="unbounded" minOccurs="0" nillable="true"/>
            </xsd:sequence>
          </xsd:extension>
        </xsd:complexContent>
      </xsd:complexType>
    </xsd:element>
    <xsd:element name="oaba50052a024fb29595ecca5fbbaa4e" ma:index="15" nillable="true" ma:taxonomy="true" ma:internalName="oaba50052a024fb29595ecca5fbbaa4e" ma:taxonomyFieldName="SIZADivision" ma:displayName="Division" ma:default="2;#Early Years and Child Care Services|ce06aa10-9999-42e6-922f-4e4b46a41053" ma:fieldId="{8aba5005-2a02-4fb2-9595-ecca5fbbaa4e}" ma:sspId="fa93b17b-eca5-4df2-9431-61ba77a6f1f7" ma:termSetId="b837b880-3aa0-41f7-886b-2a1389d416d0" ma:anchorId="00000000-0000-0000-0000-000000000000" ma:open="false" ma:isKeyword="false">
      <xsd:complexType>
        <xsd:sequence>
          <xsd:element ref="pc:Terms" minOccurs="0" maxOccurs="1"/>
        </xsd:sequence>
      </xsd:complexType>
    </xsd:element>
    <xsd:element name="d4d6d7f2852d41a09afacf0336fedee9" ma:index="17" nillable="true" ma:taxonomy="true" ma:internalName="d4d6d7f2852d41a09afacf0336fedee9" ma:taxonomyFieldName="SIZASection" ma:displayName="Section" ma:default="3;#Communications|c6d9d51b-55c7-4d1b-a96f-1883fe1d44e4" ma:fieldId="{d4d6d7f2-852d-41a0-9afa-cf0336fedee9}" ma:sspId="fa93b17b-eca5-4df2-9431-61ba77a6f1f7" ma:termSetId="11c1e720-e982-466a-aacd-09d4c23fdbc0" ma:anchorId="00000000-0000-0000-0000-000000000000" ma:open="false" ma:isKeyword="false">
      <xsd:complexType>
        <xsd:sequence>
          <xsd:element ref="pc:Terms" minOccurs="0" maxOccurs="1"/>
        </xsd:sequence>
      </xsd:complexType>
    </xsd:element>
    <xsd:element name="if2ef2b6bf4346d0a9a60e9784f95a0d" ma:index="19" nillable="true" ma:taxonomy="true" ma:internalName="if2ef2b6bf4346d0a9a60e9784f95a0d" ma:taxonomyFieldName="SIZAService" ma:displayName="Service" ma:readOnly="false" ma:fieldId="{2f2ef2b6-bf43-46d0-a9a6-0e9784f95a0d}" ma:sspId="fa93b17b-eca5-4df2-9431-61ba77a6f1f7" ma:termSetId="b77d1e8a-5db7-483c-9b23-740035cc05a6" ma:anchorId="00000000-0000-0000-0000-000000000000" ma:open="false" ma:isKeyword="false">
      <xsd:complexType>
        <xsd:sequence>
          <xsd:element ref="pc:Terms" minOccurs="0" maxOccurs="1"/>
        </xsd:sequence>
      </xsd:complexType>
    </xsd:element>
    <xsd:element name="i7c7954a6da6485baed72bf62adc9a98" ma:index="21" nillable="true" ma:taxonomy="true" ma:internalName="i7c7954a6da6485baed72bf62adc9a98" ma:taxonomyFieldName="SIZADocumentType" ma:displayName="Document Type" ma:readOnly="false" ma:fieldId="{27c7954a-6da6-485b-aed7-2bf62adc9a98}" ma:sspId="fa93b17b-eca5-4df2-9431-61ba77a6f1f7" ma:termSetId="a30e0fc5-ef8a-411d-ac18-85e301421e76" ma:anchorId="00000000-0000-0000-0000-000000000000" ma:open="false" ma:isKeyword="false">
      <xsd:complexType>
        <xsd:sequence>
          <xsd:element ref="pc:Terms" minOccurs="0" maxOccurs="1"/>
        </xsd:sequence>
      </xsd:complexType>
    </xsd:element>
    <xsd:element name="i09ce8ea77e04d5b937fa0a29b257c75" ma:index="23" nillable="true" ma:taxonomy="true" ma:internalName="i09ce8ea77e04d5b937fa0a29b257c75" ma:taxonomyFieldName="SIZADocumentSubType" ma:displayName="Document SubType" ma:readOnly="false" ma:fieldId="{209ce8ea-77e0-4d5b-937f-a0a29b257c75}" ma:sspId="fa93b17b-eca5-4df2-9431-61ba77a6f1f7" ma:termSetId="9ba2e993-e3a4-40d4-af48-5ac0b9f0db0c" ma:anchorId="00000000-0000-0000-0000-000000000000" ma:open="false" ma:isKeyword="false">
      <xsd:complexType>
        <xsd:sequence>
          <xsd:element ref="pc:Terms" minOccurs="0" maxOccurs="1"/>
        </xsd:sequence>
      </xsd:complexType>
    </xsd:element>
    <xsd:element name="SIZADate" ma:index="25" nillable="true" ma:displayName="Date" ma:description="The date of the document." ma:internalName="SIZADate" ma:readOnly="false">
      <xsd:simpleType>
        <xsd:restriction base="dms:DateTime"/>
      </xsd:simpleType>
    </xsd:element>
    <xsd:element name="SIZASubject" ma:index="26" nillable="true" ma:displayName="Subject" ma:description="The subject of the document." ma:internalName="SIZASubject" ma:readOnly="false">
      <xsd:simpleType>
        <xsd:restriction base="dms:Text"/>
      </xsd:simpleType>
    </xsd:element>
    <xsd:element name="SIZAAuthor" ma:index="27" nillable="true" ma:displayName="Author" ma:description="The author of the document." ma:internalName="SIZAAutho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816cc0c51d043a4907164997a81cf13" ma:index="28" nillable="true" ma:taxonomy="true" ma:internalName="c816cc0c51d043a4907164997a81cf13" ma:taxonomyFieldName="SIZAKeywords" ma:displayName="Additional Tags" ma:readOnly="false" ma:fieldId="{c816cc0c-51d0-43a4-9071-64997a81cf13}" ma:sspId="fa93b17b-eca5-4df2-9431-61ba77a6f1f7" ma:termSetId="c9229c1c-9cd4-4e27-a7aa-176e35bc250b" ma:anchorId="00000000-0000-0000-0000-000000000000" ma:open="false" ma:isKeyword="false">
      <xsd:complexType>
        <xsd:sequence>
          <xsd:element ref="pc:Terms" minOccurs="0" maxOccurs="1"/>
        </xsd:sequence>
      </xsd:complexType>
    </xsd:element>
    <xsd:element name="leed0c44d2ac42d791805961a1e6b6e0" ma:index="30" nillable="true" ma:taxonomy="true" ma:internalName="leed0c44d2ac42d791805961a1e6b6e0" ma:taxonomyFieldName="SIZARecordClassification" ma:displayName="Records Classification" ma:readOnly="false" ma:fieldId="{5eed0c44-d2ac-42d7-9180-5961a1e6b6e0}" ma:sspId="fa93b17b-eca5-4df2-9431-61ba77a6f1f7" ma:termSetId="4de2fedc-4bea-4300-87fb-a9dd50186fcb" ma:anchorId="00000000-0000-0000-0000-000000000000" ma:open="false" ma:isKeyword="false">
      <xsd:complexType>
        <xsd:sequence>
          <xsd:element ref="pc:Terms" minOccurs="0" maxOccurs="1"/>
        </xsd:sequence>
      </xsd:complexType>
    </xsd:element>
    <xsd:element name="SIZARecordsEventDate" ma:index="32" nillable="true" ma:displayName="Records Event Date" ma:description="Records Event Date" ma:internalName="SIZARecordsEventDate" ma:readOnly="false">
      <xsd:simpleType>
        <xsd:restriction base="dms:DateTime"/>
      </xsd:simpleType>
    </xsd:element>
    <xsd:element name="SharedWithUsers" ma:index="3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5b19e7-bd48-44bc-ae9f-d38b7c2f2ede" elementFormDefault="qualified">
    <xsd:import namespace="http://schemas.microsoft.com/office/2006/documentManagement/types"/>
    <xsd:import namespace="http://schemas.microsoft.com/office/infopath/2007/PartnerControls"/>
    <xsd:element name="MediaServiceMetadata" ma:index="33" nillable="true" ma:displayName="MediaServiceMetadata" ma:hidden="true" ma:internalName="MediaServiceMetadata" ma:readOnly="true">
      <xsd:simpleType>
        <xsd:restriction base="dms:Note"/>
      </xsd:simpleType>
    </xsd:element>
    <xsd:element name="MediaServiceFastMetadata" ma:index="34" nillable="true" ma:displayName="MediaServiceFastMetadata" ma:hidden="true" ma:internalName="MediaServiceFastMetadata" ma:readOnly="true">
      <xsd:simpleType>
        <xsd:restriction base="dms:Note"/>
      </xsd:simpleType>
    </xsd:element>
    <xsd:element name="MediaServiceDateTaken" ma:index="35" nillable="true" ma:displayName="MediaServiceDateTaken" ma:hidden="true" ma:indexed="true" ma:internalName="MediaServiceDateTaken"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fa93b17b-eca5-4df2-9431-61ba77a6f1f7" ma:termSetId="09814cd3-568e-fe90-9814-8d621ff8fb84" ma:anchorId="fba54fb3-c3e1-fe81-a776-ca4b69148c4d" ma:open="true" ma:isKeyword="false">
      <xsd:complexType>
        <xsd:sequence>
          <xsd:element ref="pc:Terms" minOccurs="0" maxOccurs="1"/>
        </xsd:sequence>
      </xsd:complexType>
    </xsd:element>
    <xsd:element name="MediaServiceGenerationTime" ma:index="41" nillable="true" ma:displayName="MediaServiceGenerationTime" ma:hidden="true" ma:internalName="MediaServiceGenerationTime" ma:readOnly="true">
      <xsd:simpleType>
        <xsd:restriction base="dms:Text"/>
      </xsd:simpleType>
    </xsd:element>
    <xsd:element name="MediaServiceEventHashCode" ma:index="42" nillable="true" ma:displayName="MediaServiceEventHashCode" ma:hidden="true" ma:internalName="MediaServiceEventHashCode" ma:readOnly="true">
      <xsd:simpleType>
        <xsd:restriction base="dms:Text"/>
      </xsd:simpleType>
    </xsd:element>
    <xsd:element name="MediaServiceOCR" ma:index="43" nillable="true" ma:displayName="Extracted Text" ma:internalName="MediaServiceOCR" ma:readOnly="true">
      <xsd:simpleType>
        <xsd:restriction base="dms:Note">
          <xsd:maxLength value="255"/>
        </xsd:restriction>
      </xsd:simpleType>
    </xsd:element>
    <xsd:element name="MediaServiceLocation" ma:index="44" nillable="true" ma:displayName="Location" ma:indexed="true" ma:internalName="MediaServiceLocation" ma:readOnly="true">
      <xsd:simpleType>
        <xsd:restriction base="dms:Text"/>
      </xsd:simpleType>
    </xsd:element>
    <xsd:element name="MediaServiceObjectDetectorVersions" ma:index="45" nillable="true" ma:displayName="MediaServiceObjectDetectorVersions"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666AC-06A2-4BDC-BF89-0EE09CADD0BF}"/>
</file>

<file path=customXml/itemProps2.xml><?xml version="1.0" encoding="utf-8"?>
<ds:datastoreItem xmlns:ds="http://schemas.openxmlformats.org/officeDocument/2006/customXml" ds:itemID="{69BE81F3-CC40-4DE2-B726-C94EE9A9A550}"/>
</file>

<file path=customXml/itemProps3.xml><?xml version="1.0" encoding="utf-8"?>
<ds:datastoreItem xmlns:ds="http://schemas.openxmlformats.org/officeDocument/2006/customXml" ds:itemID="{D664EB95-24A4-43FC-809C-AEC3AFEE3B9D}"/>
</file>

<file path=customXml/itemProps4.xml><?xml version="1.0" encoding="utf-8"?>
<ds:datastoreItem xmlns:ds="http://schemas.openxmlformats.org/officeDocument/2006/customXml" ds:itemID="{CEEB066A-814D-4AC7-982A-19EA0192CB89}"/>
</file>

<file path=docMetadata/LabelInfo.xml><?xml version="1.0" encoding="utf-8"?>
<clbl:labelList xmlns:clbl="http://schemas.microsoft.com/office/2020/mipLabelMetadata">
  <clbl:label id="{356f99f3-9d86-47a1-8203-3b41b1cb0c68}" enabled="0" method="" siteId="{356f99f3-9d86-47a1-8203-3b41b1cb0c68}"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Dalugdog, Leslie</dc:creator>
  <cp:keywords/>
  <dc:description/>
  <cp:lastModifiedBy/>
  <cp:revision/>
  <dcterms:created xsi:type="dcterms:W3CDTF">2024-10-04T16:03:10Z</dcterms:created>
  <dcterms:modified xsi:type="dcterms:W3CDTF">2026-06-16T18:33:06Z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0x0101006450AF52053E4366878046AAF3AB30AB00F4DA677B379E004E95BE8618F936A982</vt:lpwstr>
  </property>
  <property fmtid="{D5CDD505-2E9C-101B-9397-08002B2CF9AE}" pid="3" name="SIZADocumentType">
    <vt:lpwstr/>
  </property>
  <property fmtid="{D5CDD505-2E9C-101B-9397-08002B2CF9AE}" pid="4" name="SIZAService">
    <vt:lpwstr/>
  </property>
  <property fmtid="{D5CDD505-2E9C-101B-9397-08002B2CF9AE}" pid="5" name="SIZADivision">
    <vt:lpwstr>2;#Early Years and Child Care Services|ce06aa10-9999-42e6-922f-4e4b46a41053</vt:lpwstr>
  </property>
  <property fmtid="{D5CDD505-2E9C-101B-9397-08002B2CF9AE}" pid="6" name="MediaServiceImageTags">
    <vt:lpwstr/>
  </property>
  <property fmtid="{D5CDD505-2E9C-101B-9397-08002B2CF9AE}" pid="7" name="SIZASection">
    <vt:lpwstr>408;#Funding and Program Administration|bc19dac2-fc19-4cc5-8059-845f9493924a</vt:lpwstr>
  </property>
  <property fmtid="{D5CDD505-2E9C-101B-9397-08002B2CF9AE}" pid="8" name="SIZADepartment">
    <vt:lpwstr>1;#Human Services|118fdf37-3eb0-4f3d-9794-08c6dc12769c</vt:lpwstr>
  </property>
  <property fmtid="{D5CDD505-2E9C-101B-9397-08002B2CF9AE}" pid="9" name="SIZADocumentSubType">
    <vt:lpwstr/>
  </property>
  <property fmtid="{D5CDD505-2E9C-101B-9397-08002B2CF9AE}" pid="10" name="SIZARecordClassification">
    <vt:lpwstr/>
  </property>
  <property fmtid="{D5CDD505-2E9C-101B-9397-08002B2CF9AE}" pid="11" name="SIZAKeywords">
    <vt:lpwstr/>
  </property>
  <property fmtid="{D5CDD505-2E9C-101B-9397-08002B2CF9AE}" pid="12" name="_dlc_DocIdItemGuid">
    <vt:lpwstr>864db43e-bf75-44ca-80cc-c9bb90b04cf4</vt:lpwstr>
  </property>
</Properties>
</file>