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peelregionca.sharepoint.com/teams/S344/Shared Documents/Website updates/2026/March 2026/FAIR guidelines/"/>
    </mc:Choice>
  </mc:AlternateContent>
  <xr:revisionPtr revIDLastSave="0" documentId="8_{88FBC0BD-AAC3-426A-BB88-98BD7C010A1E}" xr6:coauthVersionLast="47" xr6:coauthVersionMax="47" xr10:uidLastSave="{00000000-0000-0000-0000-000000000000}"/>
  <workbookProtection workbookAlgorithmName="SHA-512" workbookHashValue="YAaSwOSH0KTsgPXoyY3ZgSWo3IXYhnbeOjttC5V4cttPgN4OJADumbub8KzzlfNLP/o//FH7YqoOLGlwF8h49A==" workbookSaltValue="ey44yvHlFwB6gJysaabwsw==" workbookSpinCount="100000" lockStructure="1"/>
  <bookViews>
    <workbookView xWindow="20" yWindow="740" windowWidth="19180" windowHeight="10060" tabRatio="934" xr2:uid="{D5174172-C61A-477B-8A48-138A21D2B1E5}"/>
  </bookViews>
  <sheets>
    <sheet name="A1. Identification" sheetId="16" r:id="rId1"/>
    <sheet name="A2.Allocation &amp; Operating Plan" sheetId="6" r:id="rId2"/>
    <sheet name="A3. Peel Region Grants" sheetId="34" r:id="rId3"/>
    <sheet name="4. KPIs" sheetId="40" r:id="rId4"/>
    <sheet name="A5. Financial Position" sheetId="17" r:id="rId5"/>
    <sheet name="A6. Operations" sheetId="18" r:id="rId6"/>
    <sheet name="A7. 2025 CWELCC &amp; OTEF Recon" sheetId="35" r:id="rId7"/>
    <sheet name="A8. GovGrants input" sheetId="25" r:id="rId8"/>
    <sheet name="A9. SummaryOfReconciliations " sheetId="19" r:id="rId9"/>
    <sheet name="A10. Definition Code " sheetId="41" r:id="rId10"/>
    <sheet name="A11.Licensee's SFR&amp; Attestation" sheetId="36" r:id="rId11"/>
    <sheet name="A12. YND Reconciliation" sheetId="37" r:id="rId12"/>
    <sheet name="Hide -Financial Health Score" sheetId="29" state="hidden" r:id="rId13"/>
    <sheet name="Hide- CSV file" sheetId="38" state="hidden" r:id="rId14"/>
  </sheets>
  <externalReferences>
    <externalReference r:id="rId15"/>
    <externalReference r:id="rId16"/>
  </externalReferences>
  <definedNames>
    <definedName name="_xlnm._FilterDatabase" localSheetId="9" hidden="1">'A10. Definition Code '!#REF!</definedName>
    <definedName name="ActualProgramCosts" localSheetId="9">'[1]A12. YND Reconciliation'!$E$33</definedName>
    <definedName name="ActualProgramCosts">'A12. YND Reconciliation'!$E$33</definedName>
    <definedName name="BenchmarkAllocation" localSheetId="9">'[1]A12. YND Reconciliation'!$E$20</definedName>
    <definedName name="BenchmarkAllocation">'A12. YND Reconciliation'!$E$20</definedName>
    <definedName name="CorpName">'[2]A1 - Identification'!$C$10</definedName>
    <definedName name="CostAdjustments" localSheetId="7">#REF!</definedName>
    <definedName name="CostAdjustments">#REF!</definedName>
    <definedName name="CostAdjustmentsex" localSheetId="7">#REF!</definedName>
    <definedName name="CostAdjustmentsex">#REF!</definedName>
    <definedName name="Dec_31__2024">#REF!</definedName>
    <definedName name="EnrollmentDate">#REF!</definedName>
    <definedName name="LookupColumn">#REF!</definedName>
    <definedName name="_xlnm.Print_Area" localSheetId="0">'A1. Identification'!$A$1:$D$35</definedName>
    <definedName name="_xlnm.Print_Area" localSheetId="1">'A2.Allocation &amp; Operating Plan'!$B$1:$E$26</definedName>
    <definedName name="_xlnm.Print_Area" localSheetId="4">'A5. Financial Position'!$B$1:$G$58</definedName>
    <definedName name="_xlnm.Print_Area" localSheetId="5">'A6. Operations'!$B$1:$H$129</definedName>
    <definedName name="_xlnm.Print_Area" localSheetId="6">'A7. 2025 CWELCC &amp; OTEF Recon'!$B$1:$D$41</definedName>
    <definedName name="_xlnm.Print_Area" localSheetId="12">'Hide -Financial Health Score'!$A$1:$Q$19</definedName>
    <definedName name="ProgramCostsAllocation" localSheetId="9">'[1]A12. YND Reconciliation'!$E$23</definedName>
    <definedName name="ProgramCostsAllocation">'A12. YND Reconciliation'!$E$23</definedName>
    <definedName name="ResultColumn">#REF!</definedName>
    <definedName name="SimonLegacyData">#REF!</definedName>
    <definedName name="SSMs">#REF!</definedName>
    <definedName name="SumEligibleCosts">#REF!</definedName>
    <definedName name="VersionDate">'[2]A1 - Identification'!$C$52</definedName>
    <definedName name="YearEnd">'[2]A1 - Identification'!$G$10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29" l="1"/>
  <c r="E23" i="18"/>
  <c r="D111" i="18" l="1"/>
  <c r="I47" i="18" l="1"/>
  <c r="I39" i="18"/>
  <c r="D32" i="35" l="1"/>
  <c r="F40" i="36"/>
  <c r="F79" i="36"/>
  <c r="C3" i="40"/>
  <c r="H2" i="40"/>
  <c r="G47" i="40"/>
  <c r="F48" i="36" l="1"/>
  <c r="F47" i="18"/>
  <c r="F39" i="18"/>
  <c r="F64" i="18"/>
  <c r="F65" i="18"/>
  <c r="F66" i="18"/>
  <c r="F67" i="18"/>
  <c r="F68" i="18"/>
  <c r="F69" i="18"/>
  <c r="F63" i="18"/>
  <c r="F26" i="36"/>
  <c r="F25" i="36"/>
  <c r="F24" i="36"/>
  <c r="F23" i="36"/>
  <c r="F22" i="36"/>
  <c r="F21" i="36"/>
  <c r="D26" i="35"/>
  <c r="F64" i="36"/>
  <c r="F41" i="36" l="1"/>
  <c r="D22" i="18"/>
  <c r="F41" i="18"/>
  <c r="F63" i="36" l="1"/>
  <c r="F49" i="36"/>
  <c r="A3" i="29"/>
  <c r="A1" i="29"/>
  <c r="B4" i="35"/>
  <c r="I54" i="18"/>
  <c r="I55" i="18"/>
  <c r="I56" i="18"/>
  <c r="I57" i="18"/>
  <c r="I58" i="18"/>
  <c r="I59" i="18"/>
  <c r="F58" i="18"/>
  <c r="F57" i="18"/>
  <c r="F49" i="18"/>
  <c r="I52" i="18"/>
  <c r="I51" i="18"/>
  <c r="I50" i="18"/>
  <c r="I49" i="18"/>
  <c r="I48" i="18"/>
  <c r="I46" i="18"/>
  <c r="I41" i="18"/>
  <c r="L2" i="18"/>
  <c r="F43" i="36"/>
  <c r="H29" i="18" l="1"/>
  <c r="H28" i="18"/>
  <c r="C23" i="16" l="1"/>
  <c r="F56" i="18"/>
  <c r="L1" i="36" l="1"/>
  <c r="B4" i="19"/>
  <c r="BS2" i="38"/>
  <c r="F2" i="38"/>
  <c r="A2" i="38"/>
  <c r="F11" i="36"/>
  <c r="E2" i="38" s="1"/>
  <c r="F44" i="36"/>
  <c r="AE2" i="38" s="1"/>
  <c r="AB2" i="38"/>
  <c r="F18" i="36"/>
  <c r="L2" i="38" s="1"/>
  <c r="R2" i="38"/>
  <c r="Q2" i="38"/>
  <c r="P2" i="38"/>
  <c r="O2" i="38"/>
  <c r="N2" i="38"/>
  <c r="M2" i="38"/>
  <c r="C21" i="16"/>
  <c r="F9" i="36"/>
  <c r="C2" i="38" s="1"/>
  <c r="C82" i="36"/>
  <c r="G2" i="38" s="1"/>
  <c r="F32" i="36" l="1"/>
  <c r="Y2" i="38" s="1"/>
  <c r="AR2" i="38"/>
  <c r="E9" i="37"/>
  <c r="AS2" i="38" l="1"/>
  <c r="F59" i="18"/>
  <c r="E25" i="37" l="1"/>
  <c r="E24" i="37"/>
  <c r="BH2" i="38" s="1"/>
  <c r="E22" i="37"/>
  <c r="BG2" i="38" s="1"/>
  <c r="E21" i="37"/>
  <c r="BF2" i="38" s="1"/>
  <c r="E20" i="37"/>
  <c r="BE2" i="38" s="1"/>
  <c r="C88" i="36"/>
  <c r="F10" i="36"/>
  <c r="D2" i="38" s="1"/>
  <c r="E10" i="37"/>
  <c r="F8" i="36"/>
  <c r="B2" i="38" s="1"/>
  <c r="F96" i="36"/>
  <c r="K2" i="38" s="1"/>
  <c r="C96" i="36"/>
  <c r="I82" i="36"/>
  <c r="I2" i="38" s="1"/>
  <c r="F82" i="36"/>
  <c r="H2" i="38" s="1"/>
  <c r="BB2" i="38"/>
  <c r="AY2" i="38"/>
  <c r="F33" i="36"/>
  <c r="E44" i="37"/>
  <c r="I26" i="36"/>
  <c r="X2" i="38" s="1"/>
  <c r="I25" i="36"/>
  <c r="W2" i="38" s="1"/>
  <c r="I24" i="36"/>
  <c r="V2" i="38" s="1"/>
  <c r="I23" i="36"/>
  <c r="U2" i="38" s="1"/>
  <c r="I22" i="36"/>
  <c r="T2" i="38" s="1"/>
  <c r="I21" i="36"/>
  <c r="S2" i="38" s="1"/>
  <c r="F60" i="36"/>
  <c r="AQ2" i="38" s="1"/>
  <c r="F59" i="36"/>
  <c r="AP2" i="38" s="1"/>
  <c r="F57" i="36"/>
  <c r="AN2" i="38" s="1"/>
  <c r="C20" i="16"/>
  <c r="D53" i="18"/>
  <c r="F55" i="18"/>
  <c r="F54" i="18"/>
  <c r="F52" i="18"/>
  <c r="F51" i="18"/>
  <c r="F50" i="18"/>
  <c r="F48" i="18"/>
  <c r="F46" i="18"/>
  <c r="F43" i="18"/>
  <c r="F44" i="18"/>
  <c r="E53" i="18"/>
  <c r="AH2" i="38"/>
  <c r="F50" i="36"/>
  <c r="AI2" i="38" s="1"/>
  <c r="F51" i="36"/>
  <c r="AJ2" i="38" s="1"/>
  <c r="F52" i="36"/>
  <c r="AK2" i="38" s="1"/>
  <c r="F53" i="36"/>
  <c r="AL2" i="38" s="1"/>
  <c r="AG2" i="38"/>
  <c r="F42" i="36"/>
  <c r="AC2" i="38" s="1"/>
  <c r="AD2" i="38"/>
  <c r="F45" i="36"/>
  <c r="AF2" i="38" s="1"/>
  <c r="AA2" i="38"/>
  <c r="I44" i="18"/>
  <c r="I43" i="18"/>
  <c r="E45" i="18"/>
  <c r="D45" i="18"/>
  <c r="F38" i="18"/>
  <c r="F40" i="18"/>
  <c r="F42" i="18"/>
  <c r="D37" i="18"/>
  <c r="C76" i="37"/>
  <c r="H21" i="18"/>
  <c r="H20" i="18"/>
  <c r="F104" i="18"/>
  <c r="I64" i="18"/>
  <c r="I65" i="18"/>
  <c r="I66" i="18"/>
  <c r="I67" i="18"/>
  <c r="I68" i="18"/>
  <c r="I69" i="18"/>
  <c r="I63" i="18"/>
  <c r="I60" i="18"/>
  <c r="L2" i="36"/>
  <c r="I45" i="18" l="1"/>
  <c r="J2" i="38"/>
  <c r="C93" i="36"/>
  <c r="E45" i="37"/>
  <c r="Z2" i="38"/>
  <c r="E46" i="37"/>
  <c r="BI2" i="38"/>
  <c r="C91" i="36"/>
  <c r="C92" i="36"/>
  <c r="C22" i="16" s="1"/>
  <c r="C94" i="36"/>
  <c r="C24" i="16" s="1"/>
  <c r="E23" i="37"/>
  <c r="E32" i="37" s="1"/>
  <c r="E76" i="37"/>
  <c r="C90" i="36"/>
  <c r="C89" i="36"/>
  <c r="I27" i="36"/>
  <c r="F27" i="36"/>
  <c r="D35" i="18"/>
  <c r="F45" i="18"/>
  <c r="F37" i="18"/>
  <c r="I42" i="18"/>
  <c r="E47" i="37" l="1"/>
  <c r="E53" i="37" s="1"/>
  <c r="E26" i="37"/>
  <c r="I40" i="18"/>
  <c r="D116" i="34"/>
  <c r="BM2" i="38" l="1"/>
  <c r="E37" i="18"/>
  <c r="E35" i="18" s="1"/>
  <c r="I38" i="18"/>
  <c r="E130" i="34"/>
  <c r="G130" i="34"/>
  <c r="H130" i="34" s="1"/>
  <c r="E150" i="34"/>
  <c r="E141" i="34"/>
  <c r="G40" i="34"/>
  <c r="I37" i="18" l="1"/>
  <c r="C48" i="6"/>
  <c r="F141" i="34"/>
  <c r="D48" i="6" l="1"/>
  <c r="D23" i="35"/>
  <c r="F23" i="35" l="1"/>
  <c r="F56" i="36"/>
  <c r="AM2" i="38" s="1"/>
  <c r="D76" i="34"/>
  <c r="C61" i="34"/>
  <c r="D79" i="34" s="1"/>
  <c r="F39" i="34" l="1"/>
  <c r="C21" i="19"/>
  <c r="D21" i="19" s="1"/>
  <c r="E21" i="19"/>
  <c r="D29" i="17"/>
  <c r="F21" i="19" l="1"/>
  <c r="F38" i="34"/>
  <c r="F37" i="34"/>
  <c r="F40" i="34" l="1"/>
  <c r="F150" i="34"/>
  <c r="C17" i="19"/>
  <c r="D17" i="19" s="1"/>
  <c r="C19" i="19"/>
  <c r="D19" i="19" s="1"/>
  <c r="D40" i="34"/>
  <c r="D33" i="35"/>
  <c r="C104" i="35"/>
  <c r="C18" i="19" l="1"/>
  <c r="G2" i="35"/>
  <c r="L2" i="16"/>
  <c r="H3" i="40" s="1"/>
  <c r="I2" i="6"/>
  <c r="H2" i="34"/>
  <c r="I2" i="17"/>
  <c r="J2" i="25"/>
  <c r="H2" i="19" s="1"/>
  <c r="E19" i="19"/>
  <c r="E17" i="19"/>
  <c r="L1" i="18" l="1"/>
  <c r="E120" i="18"/>
  <c r="E121" i="18"/>
  <c r="E119" i="18"/>
  <c r="E115" i="18"/>
  <c r="E116" i="18"/>
  <c r="E114" i="18"/>
  <c r="D103" i="18"/>
  <c r="C14" i="19"/>
  <c r="B3" i="25" l="1"/>
  <c r="B1" i="18"/>
  <c r="B1" i="17"/>
  <c r="B1" i="34"/>
  <c r="B1" i="6"/>
  <c r="F21" i="18"/>
  <c r="D15" i="35"/>
  <c r="D13" i="35"/>
  <c r="D14" i="35"/>
  <c r="D10" i="35"/>
  <c r="C64" i="34"/>
  <c r="C101" i="34"/>
  <c r="C104" i="34" s="1"/>
  <c r="C90" i="35"/>
  <c r="C91" i="35"/>
  <c r="C89" i="35"/>
  <c r="C68" i="35"/>
  <c r="C72" i="35"/>
  <c r="C106" i="34" l="1"/>
  <c r="D119" i="34"/>
  <c r="D117" i="34"/>
  <c r="D65" i="34"/>
  <c r="C77" i="34" s="1"/>
  <c r="D77" i="34"/>
  <c r="D16" i="35"/>
  <c r="D118" i="34"/>
  <c r="C92" i="35"/>
  <c r="C105" i="35"/>
  <c r="C106" i="35"/>
  <c r="H1" i="19"/>
  <c r="C98" i="35"/>
  <c r="C96" i="35"/>
  <c r="G1" i="35"/>
  <c r="H39" i="34"/>
  <c r="I39" i="34" s="1"/>
  <c r="H38" i="34"/>
  <c r="I38" i="34" s="1"/>
  <c r="E24" i="18"/>
  <c r="J1" i="25"/>
  <c r="H1" i="34"/>
  <c r="H37" i="34"/>
  <c r="I37" i="34" s="1"/>
  <c r="D110" i="18"/>
  <c r="D27" i="18"/>
  <c r="F26" i="18"/>
  <c r="E27" i="18"/>
  <c r="D105" i="34"/>
  <c r="E111" i="18" s="1"/>
  <c r="F111" i="18" l="1"/>
  <c r="C73" i="35"/>
  <c r="C95" i="35"/>
  <c r="C97" i="35" s="1"/>
  <c r="F27" i="18"/>
  <c r="E113" i="18"/>
  <c r="C108" i="34"/>
  <c r="I40" i="34" l="1"/>
  <c r="E70" i="35"/>
  <c r="D96" i="35"/>
  <c r="C99" i="35"/>
  <c r="D98" i="35"/>
  <c r="C15" i="19" l="1"/>
  <c r="D107" i="34"/>
  <c r="C117" i="34"/>
  <c r="C107" i="35" s="1"/>
  <c r="C36" i="25"/>
  <c r="F110" i="18"/>
  <c r="E110" i="18"/>
  <c r="E53" i="35"/>
  <c r="F53" i="35" s="1"/>
  <c r="C118" i="34" l="1"/>
  <c r="D25" i="35" s="1"/>
  <c r="E17" i="6"/>
  <c r="C119" i="34" l="1"/>
  <c r="D9" i="35"/>
  <c r="D11" i="35" s="1"/>
  <c r="D18" i="35" s="1"/>
  <c r="D38" i="35"/>
  <c r="D24" i="35" l="1"/>
  <c r="C108" i="35"/>
  <c r="E104" i="35" s="1"/>
  <c r="D63" i="35"/>
  <c r="H40" i="34"/>
  <c r="E40" i="34"/>
  <c r="E41" i="34" l="1"/>
  <c r="G41" i="34"/>
  <c r="J40" i="34"/>
  <c r="D18" i="19"/>
  <c r="E18" i="19" s="1"/>
  <c r="D24" i="18"/>
  <c r="F24" i="18" s="1"/>
  <c r="I1" i="17" l="1"/>
  <c r="I1" i="6"/>
  <c r="L1" i="16"/>
  <c r="C66" i="34" l="1"/>
  <c r="C68" i="34" s="1"/>
  <c r="D78" i="34"/>
  <c r="D67" i="34" l="1"/>
  <c r="C78" i="34" s="1"/>
  <c r="D82" i="34" s="1"/>
  <c r="D74" i="34" l="1"/>
  <c r="BT2" i="38" l="1"/>
  <c r="F62" i="37"/>
  <c r="D16" i="17"/>
  <c r="B3" i="17" l="1"/>
  <c r="C30" i="25" l="1"/>
  <c r="C19" i="25"/>
  <c r="C13" i="25"/>
  <c r="C14" i="25"/>
  <c r="C15" i="25"/>
  <c r="C16" i="25"/>
  <c r="C17" i="25"/>
  <c r="C18" i="25"/>
  <c r="C12" i="25"/>
  <c r="F22" i="25"/>
  <c r="D22" i="25"/>
  <c r="H21" i="25"/>
  <c r="G21" i="25"/>
  <c r="G19" i="25"/>
  <c r="G18" i="25"/>
  <c r="G17" i="25"/>
  <c r="G16" i="25"/>
  <c r="G15" i="25"/>
  <c r="G14" i="25"/>
  <c r="G13" i="25"/>
  <c r="G12" i="25"/>
  <c r="H13" i="25" l="1"/>
  <c r="H14" i="25"/>
  <c r="H12" i="25"/>
  <c r="H18" i="25"/>
  <c r="H17" i="25"/>
  <c r="H16" i="25"/>
  <c r="H19" i="25"/>
  <c r="H15" i="25"/>
  <c r="C22" i="25"/>
  <c r="F29" i="18" l="1"/>
  <c r="F28" i="18"/>
  <c r="F20" i="18"/>
  <c r="F22" i="18" l="1"/>
  <c r="D80" i="18"/>
  <c r="D76" i="18"/>
  <c r="D71" i="18"/>
  <c r="E62" i="18"/>
  <c r="D62" i="18"/>
  <c r="F60" i="18"/>
  <c r="F53" i="18" s="1"/>
  <c r="F35" i="18" s="1"/>
  <c r="D36" i="17"/>
  <c r="D12" i="17"/>
  <c r="D20" i="17" s="1"/>
  <c r="E118" i="18" l="1"/>
  <c r="D31" i="35" s="1"/>
  <c r="D113" i="18"/>
  <c r="D30" i="35" s="1"/>
  <c r="D118" i="18"/>
  <c r="F62" i="18"/>
  <c r="E19" i="6"/>
  <c r="C13" i="19" s="1"/>
  <c r="C16" i="19" s="1"/>
  <c r="D123" i="18" l="1"/>
  <c r="Q18" i="29" s="1"/>
  <c r="E21" i="6"/>
  <c r="E15" i="37" s="1"/>
  <c r="BC2" i="38" s="1"/>
  <c r="C46" i="6"/>
  <c r="C47" i="6"/>
  <c r="C49" i="6"/>
  <c r="E87" i="18" l="1"/>
  <c r="E99" i="18"/>
  <c r="F99" i="18" s="1"/>
  <c r="E88" i="18"/>
  <c r="E100" i="18"/>
  <c r="F100" i="18" s="1"/>
  <c r="E74" i="18"/>
  <c r="E89" i="18"/>
  <c r="E101" i="18"/>
  <c r="E73" i="18"/>
  <c r="E90" i="18"/>
  <c r="E81" i="18"/>
  <c r="E72" i="18"/>
  <c r="E91" i="18"/>
  <c r="E78" i="18"/>
  <c r="E92" i="18"/>
  <c r="E77" i="18"/>
  <c r="E93" i="18"/>
  <c r="E82" i="18"/>
  <c r="F58" i="36" s="1"/>
  <c r="E94" i="18"/>
  <c r="E83" i="18"/>
  <c r="E95" i="18"/>
  <c r="F95" i="18" s="1"/>
  <c r="E84" i="18"/>
  <c r="E96" i="18"/>
  <c r="E85" i="18"/>
  <c r="E86" i="18"/>
  <c r="E98" i="18"/>
  <c r="E24" i="40" s="1"/>
  <c r="E97" i="18"/>
  <c r="D29" i="35" s="1"/>
  <c r="L8" i="29"/>
  <c r="Q8" i="29" s="1"/>
  <c r="E105" i="18"/>
  <c r="E106" i="18"/>
  <c r="E107" i="18"/>
  <c r="E108" i="18"/>
  <c r="F108" i="18" s="1"/>
  <c r="E58" i="37"/>
  <c r="B34" i="34"/>
  <c r="E58" i="35"/>
  <c r="D69" i="35" s="1"/>
  <c r="F65" i="36" l="1"/>
  <c r="AT2" i="38" s="1"/>
  <c r="E76" i="18"/>
  <c r="F82" i="18"/>
  <c r="F107" i="18"/>
  <c r="F67" i="36"/>
  <c r="AV2" i="38" s="1"/>
  <c r="F66" i="36"/>
  <c r="AU2" i="38" s="1"/>
  <c r="B69" i="35"/>
  <c r="E39" i="37"/>
  <c r="F68" i="36"/>
  <c r="AW2" i="38" s="1"/>
  <c r="D27" i="35"/>
  <c r="D34" i="35" s="1"/>
  <c r="AO2" i="38"/>
  <c r="F69" i="36"/>
  <c r="AX2" i="38" s="1"/>
  <c r="F98" i="18"/>
  <c r="F106" i="18"/>
  <c r="D28" i="35"/>
  <c r="E103" i="18"/>
  <c r="F105" i="18"/>
  <c r="F93" i="18"/>
  <c r="F87" i="18"/>
  <c r="F83" i="18"/>
  <c r="F85" i="18"/>
  <c r="F96" i="18"/>
  <c r="F94" i="18"/>
  <c r="F92" i="18"/>
  <c r="F86" i="18"/>
  <c r="F97" i="18"/>
  <c r="F91" i="18"/>
  <c r="F89" i="18"/>
  <c r="F90" i="18"/>
  <c r="F84" i="18"/>
  <c r="F78" i="18"/>
  <c r="F101" i="18"/>
  <c r="F88" i="18"/>
  <c r="F74" i="18"/>
  <c r="F73" i="18"/>
  <c r="E80" i="18"/>
  <c r="F81" i="18"/>
  <c r="F77" i="18"/>
  <c r="E71" i="18"/>
  <c r="F72" i="18"/>
  <c r="F103" i="18" l="1"/>
  <c r="E123" i="18"/>
  <c r="D21" i="35" s="1"/>
  <c r="F80" i="18"/>
  <c r="F76" i="18"/>
  <c r="F71" i="18"/>
  <c r="F123" i="18" l="1"/>
  <c r="U35" i="6"/>
  <c r="D49" i="6" l="1"/>
  <c r="D46" i="6" l="1"/>
  <c r="D47" i="6"/>
  <c r="D28" i="17" l="1"/>
  <c r="F22" i="19"/>
  <c r="F23" i="19" s="1"/>
  <c r="F26" i="19" s="1"/>
  <c r="D36" i="35" l="1"/>
  <c r="D40" i="35" l="1"/>
  <c r="C110" i="35" s="1"/>
  <c r="C113" i="35" l="1"/>
  <c r="C115" i="35" l="1"/>
  <c r="C116" i="35" s="1"/>
  <c r="D41" i="35"/>
  <c r="F71" i="36" s="1"/>
  <c r="C117" i="35"/>
  <c r="C118" i="35" s="1"/>
  <c r="D15" i="19" s="1"/>
  <c r="E15" i="19" l="1"/>
  <c r="D42" i="35"/>
  <c r="B41" i="35"/>
  <c r="D62" i="35"/>
  <c r="E60" i="35" s="1"/>
  <c r="D43" i="35"/>
  <c r="B45" i="35" s="1"/>
  <c r="I36" i="25" s="1"/>
  <c r="C119" i="35"/>
  <c r="D25" i="18"/>
  <c r="E25" i="18" s="1"/>
  <c r="F25" i="18" s="1"/>
  <c r="F30" i="18" s="1"/>
  <c r="F125" i="18" s="1"/>
  <c r="E36" i="25"/>
  <c r="AZ2" i="38" l="1"/>
  <c r="F73" i="36"/>
  <c r="G15" i="19"/>
  <c r="E51" i="35"/>
  <c r="F51" i="35" s="1"/>
  <c r="H36" i="25"/>
  <c r="C67" i="35"/>
  <c r="D68" i="35" s="1"/>
  <c r="D65" i="35"/>
  <c r="E64" i="35" l="1"/>
  <c r="E52" i="35" s="1"/>
  <c r="I49" i="36"/>
  <c r="I60" i="36"/>
  <c r="I65" i="36"/>
  <c r="I68" i="36"/>
  <c r="I64" i="36"/>
  <c r="I56" i="36"/>
  <c r="I63" i="36"/>
  <c r="I69" i="36"/>
  <c r="I57" i="36"/>
  <c r="I52" i="36"/>
  <c r="I58" i="36"/>
  <c r="I43" i="36"/>
  <c r="I59" i="36"/>
  <c r="I66" i="36"/>
  <c r="E31" i="37"/>
  <c r="I41" i="36"/>
  <c r="I42" i="36"/>
  <c r="I40" i="36"/>
  <c r="I70" i="36"/>
  <c r="I51" i="36"/>
  <c r="I67" i="36"/>
  <c r="I48" i="36"/>
  <c r="I50" i="36"/>
  <c r="I71" i="36"/>
  <c r="I73" i="36" l="1"/>
  <c r="E30" i="25"/>
  <c r="H30" i="25" s="1"/>
  <c r="E33" i="37"/>
  <c r="BK2" i="38" s="1"/>
  <c r="D19" i="18"/>
  <c r="E19" i="18" s="1"/>
  <c r="F52" i="35"/>
  <c r="E74" i="35"/>
  <c r="E20" i="25" s="1"/>
  <c r="D14" i="19"/>
  <c r="E14" i="19" l="1"/>
  <c r="G14" i="19" s="1"/>
  <c r="D18" i="18"/>
  <c r="D30" i="18" s="1"/>
  <c r="D125" i="18" s="1"/>
  <c r="E76" i="35"/>
  <c r="D13" i="19"/>
  <c r="E22" i="25"/>
  <c r="E54" i="35"/>
  <c r="E13" i="19" l="1"/>
  <c r="D55" i="17"/>
  <c r="E18" i="18"/>
  <c r="D16" i="19"/>
  <c r="H20" i="25"/>
  <c r="H22" i="25" s="1"/>
  <c r="G20" i="25"/>
  <c r="G22" i="25" s="1"/>
  <c r="E16" i="19" l="1"/>
  <c r="C12" i="29"/>
  <c r="L12" i="29" s="1"/>
  <c r="Q12" i="29" s="1"/>
  <c r="D58" i="17"/>
  <c r="D44" i="17" s="1"/>
  <c r="D47" i="17" s="1"/>
  <c r="E30" i="18"/>
  <c r="E125" i="18" s="1"/>
  <c r="E77" i="37" l="1" a="1"/>
  <c r="E77" i="37" s="1"/>
  <c r="BR2" i="38" s="1"/>
  <c r="E51" i="37"/>
  <c r="E75" i="37"/>
  <c r="E37" i="37"/>
  <c r="E38" i="37"/>
  <c r="E40" i="37" l="1"/>
  <c r="E52" i="37" s="1"/>
  <c r="E54" i="37" s="1"/>
  <c r="BL2" i="38" l="1"/>
  <c r="E59" i="37"/>
  <c r="E60" i="37" s="1"/>
  <c r="BN2" i="38"/>
  <c r="BP2" i="38" l="1"/>
  <c r="C71" i="37" a="1"/>
  <c r="C71" i="37" s="1"/>
  <c r="C60" i="37" a="1"/>
  <c r="C60" i="37" s="1"/>
  <c r="C82" i="34"/>
  <c r="C37" i="25"/>
  <c r="C22" i="19"/>
  <c r="C23" i="19" s="1"/>
  <c r="C26" i="19" s="1"/>
  <c r="E16" i="37"/>
  <c r="E66" i="37" s="1"/>
  <c r="C79" i="34"/>
  <c r="E37" i="25" l="1"/>
  <c r="D22" i="19"/>
  <c r="F75" i="36" s="1"/>
  <c r="C83" i="34"/>
  <c r="E27" i="37"/>
  <c r="BD2" i="38"/>
  <c r="D23" i="19" l="1"/>
  <c r="D26" i="19" s="1"/>
  <c r="I37" i="25"/>
  <c r="E22" i="19"/>
  <c r="H37" i="25"/>
  <c r="E64" i="37"/>
  <c r="BJ2" i="38"/>
  <c r="E63" i="37" l="1"/>
  <c r="E65" i="37" s="1"/>
  <c r="E67" i="37" s="1"/>
  <c r="E23" i="19"/>
  <c r="E26" i="19" s="1"/>
  <c r="D26" i="17" s="1"/>
  <c r="D32" i="17" s="1"/>
  <c r="BA2" i="38" l="1"/>
  <c r="F77" i="36"/>
  <c r="BQ2" i="38"/>
  <c r="BO2" i="38"/>
  <c r="D40" i="17"/>
  <c r="C7" i="29"/>
  <c r="L7" i="29" s="1"/>
  <c r="Q7" i="29" s="1"/>
  <c r="C67" i="37" a="1"/>
  <c r="C67" i="37" s="1"/>
  <c r="E71" i="37"/>
  <c r="C79" i="36" l="1"/>
  <c r="C10" i="29"/>
  <c r="L10" i="29" s="1"/>
  <c r="Q10" i="29" s="1"/>
  <c r="Q15" i="29" s="1"/>
  <c r="Q16" i="29" s="1"/>
  <c r="B51" i="17"/>
  <c r="D49"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9" authorId="0" shapeId="0" xr:uid="{AE8F0D2D-7268-4553-9016-39050037269D}">
      <text>
        <r>
          <rPr>
            <b/>
            <sz val="11"/>
            <color indexed="81"/>
            <rFont val="Tahoma"/>
            <family val="2"/>
          </rPr>
          <t>Enter most recent CWELCC allocation from Gov Grants</t>
        </r>
        <r>
          <rPr>
            <sz val="11"/>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D26" authorId="0" shapeId="0" xr:uid="{B08359D3-ABB1-42B8-9F89-668EA4E20FAD}">
      <text>
        <r>
          <rPr>
            <b/>
            <sz val="9"/>
            <color indexed="81"/>
            <rFont val="Tahoma"/>
            <family val="2"/>
          </rPr>
          <t xml:space="preserve">This amount changes as expenses are entered.  Review this amount once all expenses have been entered.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8" authorId="0" shapeId="0" xr:uid="{87F4FBD7-4B0D-4E5D-B42C-9AA2782825E2}">
      <text>
        <r>
          <rPr>
            <b/>
            <sz val="9"/>
            <color indexed="81"/>
            <rFont val="Tahoma"/>
            <family val="2"/>
          </rPr>
          <t>Amount adjusted as expenses entered below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<sst xmlns="http://schemas.openxmlformats.org/spreadsheetml/2006/main" count="1147" uniqueCount="956">
  <si>
    <t>Purpose</t>
  </si>
  <si>
    <t>2025 Operating Plan</t>
  </si>
  <si>
    <t>Infant</t>
  </si>
  <si>
    <t>Toddler</t>
  </si>
  <si>
    <t>Preschool</t>
  </si>
  <si>
    <t>Kinder</t>
  </si>
  <si>
    <t>Family</t>
  </si>
  <si>
    <t>Primary/Junior</t>
  </si>
  <si>
    <t>Junior</t>
  </si>
  <si>
    <t>Service days</t>
  </si>
  <si>
    <t>Licensed spaces</t>
  </si>
  <si>
    <t xml:space="preserve">OPERATING PLAN </t>
  </si>
  <si>
    <t xml:space="preserve">For more information related to Children who are 6 years of age, see 2025 CWELCC guidelines section 4.5. </t>
  </si>
  <si>
    <t>Site Name:</t>
  </si>
  <si>
    <t>Primary / Junior</t>
  </si>
  <si>
    <t>Operating spaces for ineligible children (6-12 Yrs)</t>
  </si>
  <si>
    <t>As defined in O. Reg 137/15:</t>
  </si>
  <si>
    <t>Staffing ratio</t>
  </si>
  <si>
    <t>Maximum group size</t>
  </si>
  <si>
    <t>For 2025, costs could be split as follows:</t>
  </si>
  <si>
    <t>Age 0-6</t>
  </si>
  <si>
    <t>Age 6-12</t>
  </si>
  <si>
    <t>Announcement Name</t>
  </si>
  <si>
    <t>Budget Category</t>
  </si>
  <si>
    <t>Funding Allocation</t>
  </si>
  <si>
    <t>2025 CWELCC Cost-Based Funding</t>
  </si>
  <si>
    <t>Program Cost Allocation</t>
  </si>
  <si>
    <t>Program Staffing</t>
  </si>
  <si>
    <t xml:space="preserve">Supervisor </t>
  </si>
  <si>
    <t xml:space="preserve">Accommodations </t>
  </si>
  <si>
    <t xml:space="preserve">Operating – Fixed </t>
  </si>
  <si>
    <t xml:space="preserve">Operating – Variable </t>
  </si>
  <si>
    <t xml:space="preserve">Legacy Top-Up </t>
  </si>
  <si>
    <t xml:space="preserve">Growth Top-Up </t>
  </si>
  <si>
    <t>Total Program Cost Allocation</t>
  </si>
  <si>
    <t xml:space="preserve">Minus: Expected Base Fee Revenue Offset </t>
  </si>
  <si>
    <t xml:space="preserve">TOTAL </t>
  </si>
  <si>
    <t>2025 CWELCC – Allocation in Lieu of Profit/Surplus</t>
  </si>
  <si>
    <t>Amount in Lieu of Profit/Surplus</t>
  </si>
  <si>
    <t>TOTAL CWELCC ALLOCATION</t>
  </si>
  <si>
    <t xml:space="preserve">EXPENSES </t>
  </si>
  <si>
    <t>411a</t>
  </si>
  <si>
    <t>411b</t>
  </si>
  <si>
    <t>411c</t>
  </si>
  <si>
    <t>411d</t>
  </si>
  <si>
    <t>Other (provide description)</t>
  </si>
  <si>
    <t>OCCUPANCY</t>
  </si>
  <si>
    <t>421a</t>
  </si>
  <si>
    <t>421g</t>
  </si>
  <si>
    <t>421b</t>
  </si>
  <si>
    <t>421c</t>
  </si>
  <si>
    <t>421d</t>
  </si>
  <si>
    <t>421f</t>
  </si>
  <si>
    <t>NUTRITION (PROGRAM RELATED)</t>
  </si>
  <si>
    <t>431a</t>
  </si>
  <si>
    <t>431b</t>
  </si>
  <si>
    <t>PROGRAM</t>
  </si>
  <si>
    <t>441a</t>
  </si>
  <si>
    <t>GENERAL ADMINISTRATION</t>
  </si>
  <si>
    <t>451a</t>
  </si>
  <si>
    <t>451b</t>
  </si>
  <si>
    <t>451c</t>
  </si>
  <si>
    <t>451d</t>
  </si>
  <si>
    <t>451e</t>
  </si>
  <si>
    <t>451f</t>
  </si>
  <si>
    <t>451g</t>
  </si>
  <si>
    <t>451h</t>
  </si>
  <si>
    <t>451i</t>
  </si>
  <si>
    <t>451j</t>
  </si>
  <si>
    <t>451k</t>
  </si>
  <si>
    <t>451l</t>
  </si>
  <si>
    <t>451m</t>
  </si>
  <si>
    <t>451n</t>
  </si>
  <si>
    <t>451o</t>
  </si>
  <si>
    <t>461a</t>
  </si>
  <si>
    <t>461b</t>
  </si>
  <si>
    <t>461c</t>
  </si>
  <si>
    <t>NON-BASE EXPENSES for 0-6 FAMILIES - Do not include these expenses in above Expenses</t>
  </si>
  <si>
    <t>Underspending of Program Cost allocation</t>
  </si>
  <si>
    <t>Recalculation of In Lieu of Profit/Surplus</t>
  </si>
  <si>
    <t>Total:</t>
  </si>
  <si>
    <t>Below is a summary of repayable details.</t>
  </si>
  <si>
    <t>Lessor of:</t>
  </si>
  <si>
    <t>ii. Add - 3.5% lesser of:</t>
  </si>
  <si>
    <t xml:space="preserve">         ii. Benchmark allocation</t>
  </si>
  <si>
    <t>Greater of:</t>
  </si>
  <si>
    <t>451p</t>
  </si>
  <si>
    <t>Total</t>
  </si>
  <si>
    <t>Expected Base Fee Revenue Offset</t>
  </si>
  <si>
    <t>Operations</t>
  </si>
  <si>
    <t>Column1</t>
  </si>
  <si>
    <t>Other</t>
  </si>
  <si>
    <t># of Months Site Participated in CWELCC in 2025</t>
  </si>
  <si>
    <t xml:space="preserve">Early Years and Child Care Services </t>
  </si>
  <si>
    <t>Provider Information</t>
  </si>
  <si>
    <t>ID100</t>
  </si>
  <si>
    <t>ID101</t>
  </si>
  <si>
    <t>ID102</t>
  </si>
  <si>
    <t>Mailing Address (# and Street Name, Unit #):</t>
  </si>
  <si>
    <t>ID103</t>
  </si>
  <si>
    <t>Mailing Address (City, Province, Postal Code):</t>
  </si>
  <si>
    <t>ID104</t>
  </si>
  <si>
    <t>Auspice:</t>
  </si>
  <si>
    <t>ID107</t>
  </si>
  <si>
    <t>ID108</t>
  </si>
  <si>
    <t>ID109</t>
  </si>
  <si>
    <t>Region of Peel Contact Information</t>
  </si>
  <si>
    <t xml:space="preserve">For questions and/or assistance in completing this workbook, please email EarlyYearsSystemDivision@peelregion.ca. </t>
  </si>
  <si>
    <t>Region of Peel Staff Only</t>
  </si>
  <si>
    <t>Vendor ID:</t>
  </si>
  <si>
    <t>Assurance Level &amp; Opinion:</t>
  </si>
  <si>
    <t>Yes, Transacted @ Fair Market Value (FMV)</t>
  </si>
  <si>
    <t>Low</t>
  </si>
  <si>
    <t>Yes, Not Transacted @ Fair Market Value (FMV)</t>
  </si>
  <si>
    <t>High</t>
  </si>
  <si>
    <t>No</t>
  </si>
  <si>
    <t>N/A</t>
  </si>
  <si>
    <t>Audit/Review - Unqualified Opinion</t>
  </si>
  <si>
    <t>Unqualified</t>
  </si>
  <si>
    <t>Audit/Review - Qualified Opinion</t>
  </si>
  <si>
    <t>Qualified</t>
  </si>
  <si>
    <t xml:space="preserve">Audit/Review - Qualified Opinion Due to Nature of Business </t>
  </si>
  <si>
    <t>Audit/Review - Denial / Adverse Opinion</t>
  </si>
  <si>
    <t>Adverse</t>
  </si>
  <si>
    <t>Notice to Reader - No Opinion</t>
  </si>
  <si>
    <t>NTR</t>
  </si>
  <si>
    <t>Centre-Based</t>
  </si>
  <si>
    <t>Home-Based</t>
  </si>
  <si>
    <t>For-Profit</t>
  </si>
  <si>
    <t>Not-For-Profit</t>
  </si>
  <si>
    <t>Yes</t>
  </si>
  <si>
    <t>Statement of Financial Position / Balance Sheet</t>
  </si>
  <si>
    <t>ASSETS</t>
  </si>
  <si>
    <t>CASH / BANK</t>
  </si>
  <si>
    <t>SHORT TERM INVESTMENTS</t>
  </si>
  <si>
    <t>110a</t>
  </si>
  <si>
    <t>ACCOUNTS RECEIVABLE (NET OF ALLOWANCE)</t>
  </si>
  <si>
    <t>DUE FROM REGION OF PEEL</t>
  </si>
  <si>
    <t>111a</t>
  </si>
  <si>
    <t>OTHERS</t>
  </si>
  <si>
    <t>TOTAL CURRENT ASSETS</t>
  </si>
  <si>
    <t>CAPITAL ASSETS (NET OF AMORTIZATION)</t>
  </si>
  <si>
    <t>TOTAL NON-CURRENT ASSETS (NET OF AMORTIZATION)</t>
  </si>
  <si>
    <t>DUE FROM SHAREHOLDER</t>
  </si>
  <si>
    <t>TOTAL ASSETS</t>
  </si>
  <si>
    <t>LIABILITIES</t>
  </si>
  <si>
    <t>BANK INDEBTEDNESS</t>
  </si>
  <si>
    <t>ACCOUNTS PAYABLE &amp; ACCRUED LIABILITIES</t>
  </si>
  <si>
    <t>DUE TO REGION OF PEEL</t>
  </si>
  <si>
    <t>211a</t>
  </si>
  <si>
    <t>DEFERRED REVENUE</t>
  </si>
  <si>
    <t>SHORT TERM LOANS</t>
  </si>
  <si>
    <t>CURRENT LIABILITIES</t>
  </si>
  <si>
    <t>MORTGAGE</t>
  </si>
  <si>
    <t>OTHER LOANS</t>
  </si>
  <si>
    <t>TOTAL NON-CURRENT LIABILITIES</t>
  </si>
  <si>
    <t>DUE TO SHAREHOLDER</t>
  </si>
  <si>
    <t>TOTAL LIABILITIES</t>
  </si>
  <si>
    <t>EQUITY / NET ASSETS</t>
  </si>
  <si>
    <t>RETAINED EARNINGS / ACCUMULATED SURPLUS (DEFICIT)</t>
  </si>
  <si>
    <t>OTHER RESERVE (IF APPLICABLE)</t>
  </si>
  <si>
    <t>TOTAL EQUITY OR NET ASSETS</t>
  </si>
  <si>
    <t>TOTAL LIABILITIES &amp; EQUITY OR NET ASSETS</t>
  </si>
  <si>
    <t>RETAINED EARNINGS / ACCUMULATED SURPLUS (DEFICIT) DETAILS</t>
  </si>
  <si>
    <t>RETAINED EARNINGS / ACCUMULATED SURPLUS (DEFICIT), BEGINNING BALANCE</t>
  </si>
  <si>
    <t>500a</t>
  </si>
  <si>
    <t>ADD: CURRENT INCOME (LOSS) / SURPLUS (DEFICITS)</t>
  </si>
  <si>
    <t>500b</t>
  </si>
  <si>
    <t>LESS: DIVIDENDS PAID</t>
  </si>
  <si>
    <t>500c</t>
  </si>
  <si>
    <t>500d</t>
  </si>
  <si>
    <t>RETAINED EARNINGS / ACCUMULATED SURPLUS (DEFICIT), ENDING BALANCE</t>
  </si>
  <si>
    <t>Statement of Operations / Income Statement</t>
  </si>
  <si>
    <t>TOTAL</t>
  </si>
  <si>
    <t>0-6</t>
  </si>
  <si>
    <t>OVER 6</t>
  </si>
  <si>
    <t>REVENUE DETAILS</t>
  </si>
  <si>
    <t xml:space="preserve">   TOTAL REVENUE</t>
  </si>
  <si>
    <t xml:space="preserve">   Other - please specify</t>
  </si>
  <si>
    <t xml:space="preserve">   Rental of Office / Building</t>
  </si>
  <si>
    <t xml:space="preserve">   Property Tax</t>
  </si>
  <si>
    <t xml:space="preserve">   Property Insurance</t>
  </si>
  <si>
    <t xml:space="preserve">   Property Maintenance Fees</t>
  </si>
  <si>
    <t xml:space="preserve">   Mortgage Interest</t>
  </si>
  <si>
    <t>421e</t>
  </si>
  <si>
    <t xml:space="preserve">   Utilities</t>
  </si>
  <si>
    <t xml:space="preserve">   Food Costs</t>
  </si>
  <si>
    <t xml:space="preserve">   Catering Service</t>
  </si>
  <si>
    <t>431c</t>
  </si>
  <si>
    <t xml:space="preserve">   Program Supplies</t>
  </si>
  <si>
    <t>441b</t>
  </si>
  <si>
    <t xml:space="preserve">   Advertising and Promotions</t>
  </si>
  <si>
    <t xml:space="preserve">   Auditing </t>
  </si>
  <si>
    <t xml:space="preserve">   Bad Debts</t>
  </si>
  <si>
    <t xml:space="preserve">   Bookkeeping</t>
  </si>
  <si>
    <t xml:space="preserve">   Insurance</t>
  </si>
  <si>
    <t xml:space="preserve">   Bank Charges</t>
  </si>
  <si>
    <t xml:space="preserve">   Legal</t>
  </si>
  <si>
    <t xml:space="preserve">   Management Fee </t>
  </si>
  <si>
    <t xml:space="preserve">   Office and General</t>
  </si>
  <si>
    <t xml:space="preserve">   Telephone &amp; Internet</t>
  </si>
  <si>
    <t xml:space="preserve">   Professional and Consulting Fees</t>
  </si>
  <si>
    <t xml:space="preserve">   Professional Dues</t>
  </si>
  <si>
    <t xml:space="preserve">   Payment to Home Child Care Providers (only applicable to licensed home child care agencies)</t>
  </si>
  <si>
    <t xml:space="preserve">   Repairs &amp; Maintenance</t>
  </si>
  <si>
    <t xml:space="preserve">   Income Tax</t>
  </si>
  <si>
    <t xml:space="preserve">   Franchise fees </t>
  </si>
  <si>
    <t xml:space="preserve">   TOTAL EXPENSES</t>
  </si>
  <si>
    <t xml:space="preserve">   CURRENT INCOME (LOSS) OR SURPLUS (DEFICIENCY) </t>
  </si>
  <si>
    <t>Peel Region Grants</t>
  </si>
  <si>
    <t>Funds Received</t>
  </si>
  <si>
    <t>Funds Spent</t>
  </si>
  <si>
    <t>Repayable to Peel</t>
  </si>
  <si>
    <t>CWELCC Funding</t>
  </si>
  <si>
    <t>CWELCC : Cost Based Funding</t>
  </si>
  <si>
    <t>CWELCC : Allocation in Lieu of Profit/Surplus</t>
  </si>
  <si>
    <t>Total CWELCC (0-6) Funding</t>
  </si>
  <si>
    <t>Total School-Aged (6-12) Funding</t>
  </si>
  <si>
    <t>Other Funding</t>
  </si>
  <si>
    <t>Base Fee Revenue in Excess of Allocation</t>
  </si>
  <si>
    <t>Total Step 2 Actual Cost-based Entitlement</t>
  </si>
  <si>
    <t>Actual CWELCC Repayable to the Region* (Step 1 - Step 2)</t>
  </si>
  <si>
    <t>ACTUAL CWELCC Repayable to Peel Consists of*:</t>
  </si>
  <si>
    <t>#</t>
  </si>
  <si>
    <t xml:space="preserve">Budget Category </t>
  </si>
  <si>
    <t xml:space="preserve">Awarded Budget </t>
  </si>
  <si>
    <t xml:space="preserve">Spent Previously </t>
  </si>
  <si>
    <t xml:space="preserve">Spent this Period </t>
  </si>
  <si>
    <t xml:space="preserve">Projected Spending for Remaining Periods </t>
  </si>
  <si>
    <t xml:space="preserve">Total Forecast </t>
  </si>
  <si>
    <t xml:space="preserve">Projected Year-to-Date Underspent </t>
  </si>
  <si>
    <t>Supervisor</t>
  </si>
  <si>
    <t>Accommodations</t>
  </si>
  <si>
    <t>Operating - Fixed</t>
  </si>
  <si>
    <t>Operating - Variable</t>
  </si>
  <si>
    <t>Legacy Top-Up</t>
  </si>
  <si>
    <t>Growth Top-Up</t>
  </si>
  <si>
    <t>Actual Program Cost</t>
  </si>
  <si>
    <t>In Lieu of Profit</t>
  </si>
  <si>
    <t>Repayable Calculation for Year End Reconciliation</t>
  </si>
  <si>
    <t>Emergency Funding - Capital</t>
  </si>
  <si>
    <t xml:space="preserve">   Central Allocated Administration (for Multi-site Agencies)</t>
  </si>
  <si>
    <t>2025 CWELCC Allocation</t>
  </si>
  <si>
    <r>
      <rPr>
        <b/>
        <sz val="12"/>
        <color theme="1"/>
        <rFont val="Calibri"/>
        <family val="2"/>
        <scheme val="minor"/>
      </rPr>
      <t xml:space="preserve">Important: </t>
    </r>
    <r>
      <rPr>
        <sz val="12"/>
        <color theme="1"/>
        <rFont val="Calibri"/>
        <family val="2"/>
        <scheme val="minor"/>
      </rPr>
      <t>Children who are 6 years of age may qualify as an eligible child if below applies: 
For 6-year-old children enrolled in a preschool, kindergarten, or family age groups:
• If the child turns 6 years old between January 1 and June 30, they qualify until June 30 of that year. 
• If the child turns 6 years old between July 1 and December 31, they qualify until the end of the month they turn 6 years old.
For 6-year-old children enrolled in primary/junior school-age or junior school-age qualify until the end of the month they turn 6 years old</t>
    </r>
  </si>
  <si>
    <r>
      <t xml:space="preserve">Program staffing
</t>
    </r>
    <r>
      <rPr>
        <b/>
        <sz val="8"/>
        <rFont val="Calibri"/>
        <family val="2"/>
        <scheme val="minor"/>
      </rPr>
      <t>(calculating proration between 0-6 and 6-12)</t>
    </r>
  </si>
  <si>
    <r>
      <t xml:space="preserve">Supervisor 
</t>
    </r>
    <r>
      <rPr>
        <b/>
        <sz val="8"/>
        <rFont val="Calibri"/>
        <family val="2"/>
        <scheme val="minor"/>
      </rPr>
      <t>(calculating proration between 0-6 and 6-12)</t>
    </r>
  </si>
  <si>
    <r>
      <t xml:space="preserve">Accommodations 
</t>
    </r>
    <r>
      <rPr>
        <b/>
        <sz val="8"/>
        <rFont val="Calibri"/>
        <family val="2"/>
        <scheme val="minor"/>
      </rPr>
      <t>(calculating proration between 0-6 and 6-12)</t>
    </r>
  </si>
  <si>
    <r>
      <t xml:space="preserve">Operations 
</t>
    </r>
    <r>
      <rPr>
        <b/>
        <sz val="8"/>
        <rFont val="Calibri"/>
        <family val="2"/>
        <scheme val="minor"/>
      </rPr>
      <t>(calculating proration between 0-6 and 6-12)</t>
    </r>
  </si>
  <si>
    <t>Amount</t>
  </si>
  <si>
    <t>2025 CWELCC Final Reconciliation</t>
  </si>
  <si>
    <t>FP Health Score</t>
  </si>
  <si>
    <t>LIQUIDITY</t>
  </si>
  <si>
    <t>OUTPUT</t>
  </si>
  <si>
    <t>BENCHMARK</t>
  </si>
  <si>
    <t>SCORE RANGE</t>
  </si>
  <si>
    <t>SCORE</t>
  </si>
  <si>
    <t>WEIGHT</t>
  </si>
  <si>
    <t>WEIGHTED-SCORE</t>
  </si>
  <si>
    <t>1. CURRENT RATIO</t>
  </si>
  <si>
    <t>113/215</t>
  </si>
  <si>
    <t>&gt;1.0</t>
  </si>
  <si>
    <t>&lt;0.25 = 0</t>
  </si>
  <si>
    <t>&gt;=0.25 and &lt;1.0 = 50</t>
  </si>
  <si>
    <t>&gt;=1.0 = 100</t>
  </si>
  <si>
    <t>2. LIQUID ASSETS COVERAGE</t>
  </si>
  <si>
    <t>(110+110a+111)/(490-451b)x1/12)</t>
  </si>
  <si>
    <t>&gt;3 months</t>
  </si>
  <si>
    <t>&lt;1 = 0</t>
  </si>
  <si>
    <t>&gt;=1 and &lt;3 = 50</t>
  </si>
  <si>
    <t>&gt;=3 = 100</t>
  </si>
  <si>
    <t>LEVERAGE</t>
  </si>
  <si>
    <t>3. DEBT-TO-ASSET RATIO</t>
  </si>
  <si>
    <t>220/118</t>
  </si>
  <si>
    <t>&lt;0.4</t>
  </si>
  <si>
    <t>&gt;=0.6 = 0</t>
  </si>
  <si>
    <t>&gt;0.4 and &lt;0.6 = 50</t>
  </si>
  <si>
    <t>&lt;=0.4 = 100</t>
  </si>
  <si>
    <t>PROFITABILITY</t>
  </si>
  <si>
    <t>4. NET PROFIT MARGIN</t>
  </si>
  <si>
    <t>500b/330</t>
  </si>
  <si>
    <t>&gt;=6%</t>
  </si>
  <si>
    <t>&lt;0 = 0</t>
  </si>
  <si>
    <t>&gt;=0 and &lt;6% = 75</t>
  </si>
  <si>
    <t>&gt;=6% = 100</t>
  </si>
  <si>
    <t>FINAL SCORE &gt;&gt;&gt;</t>
  </si>
  <si>
    <t>does this effective CWELCC recon</t>
  </si>
  <si>
    <t>ID111</t>
  </si>
  <si>
    <t>Efficiency Measure</t>
  </si>
  <si>
    <t>Non CWELCC</t>
  </si>
  <si>
    <t>Proration</t>
  </si>
  <si>
    <t xml:space="preserve">Recovery of OTEF </t>
  </si>
  <si>
    <t>Reconciliation:</t>
  </si>
  <si>
    <t xml:space="preserve">Total Project Cost </t>
  </si>
  <si>
    <t>CWELCC Eligible 0-6 Age Group Portion</t>
  </si>
  <si>
    <t xml:space="preserve">Less: 6-12 Age Group Portion </t>
  </si>
  <si>
    <t>Less: Covered by Insurance</t>
  </si>
  <si>
    <t>Less: Covered by Landlord</t>
  </si>
  <si>
    <t>OTEF MAJOR CAPITAL</t>
  </si>
  <si>
    <t xml:space="preserve">OTEF OPERATING </t>
  </si>
  <si>
    <t>Application: Memo approval amounts</t>
  </si>
  <si>
    <t>Provider Legal Name:</t>
  </si>
  <si>
    <t>Provider Operating Name:</t>
  </si>
  <si>
    <t>ID113</t>
  </si>
  <si>
    <t>Licence number:</t>
  </si>
  <si>
    <t>Financial Summary</t>
  </si>
  <si>
    <t>Total actual expenses</t>
  </si>
  <si>
    <t>How many months is the financial information for? (include Summer Breaks)</t>
  </si>
  <si>
    <t>Normal Operations</t>
  </si>
  <si>
    <t>Select the best response for your organization for the fiscal year</t>
  </si>
  <si>
    <t>First year of Operations</t>
  </si>
  <si>
    <t xml:space="preserve">Expanded Operations </t>
  </si>
  <si>
    <t>Brampton</t>
  </si>
  <si>
    <t>Mississauga</t>
  </si>
  <si>
    <t>Caledon</t>
  </si>
  <si>
    <t>0-6 Years
CWELCC</t>
  </si>
  <si>
    <t>Over 6 years
NON-CWELCC</t>
  </si>
  <si>
    <t>Component</t>
  </si>
  <si>
    <t>Net Project cost/Total Funding Request</t>
  </si>
  <si>
    <t>OTEF Details</t>
  </si>
  <si>
    <t>Less: Your Cost Share Contribution</t>
  </si>
  <si>
    <t>Total OTEF Funding (CASH)</t>
  </si>
  <si>
    <t>Less: 6-12 Age Group Portion</t>
  </si>
  <si>
    <t>OTEF Spent</t>
  </si>
  <si>
    <t>TOTAL NET ACTUAL PROJECT COST</t>
  </si>
  <si>
    <t>If you have received any of the below grants, complete the appropriate section.</t>
  </si>
  <si>
    <t>2025 Expansion funding</t>
  </si>
  <si>
    <t>Centre-Based and Home-Based (Both)</t>
  </si>
  <si>
    <t>Input Required or Review only</t>
  </si>
  <si>
    <t>Input required</t>
  </si>
  <si>
    <t>A2. Allocation &amp; Operating Plan</t>
  </si>
  <si>
    <t xml:space="preserve">Date of Service Level, if not May 30, 2025: </t>
  </si>
  <si>
    <t>A1- Identification</t>
  </si>
  <si>
    <t>To collect key performance indicators for year end reporting to the province and regional council</t>
  </si>
  <si>
    <t>No Input required</t>
  </si>
  <si>
    <t>2025 CWELCC Cost-Based Funding Announcement</t>
  </si>
  <si>
    <t xml:space="preserve">	2025 CWELCC – Allocation in Lieu of Profit/Surplus Announcement</t>
  </si>
  <si>
    <t xml:space="preserve">	2025 CWELCC One Time Emergency Funding Announcement</t>
  </si>
  <si>
    <t>Extraordinary circumstances</t>
  </si>
  <si>
    <t>Memo approval amounts</t>
  </si>
  <si>
    <t>Adjustments</t>
  </si>
  <si>
    <t>Deferred</t>
  </si>
  <si>
    <t>Capital Grants Funding</t>
  </si>
  <si>
    <t>Expansion Funding</t>
  </si>
  <si>
    <t>CWELCC OTEF - Capital</t>
  </si>
  <si>
    <t>GRAND TOTAL</t>
  </si>
  <si>
    <t>Total Adjustments</t>
  </si>
  <si>
    <t>Total Eligible expenses</t>
  </si>
  <si>
    <t>Amounts</t>
  </si>
  <si>
    <t xml:space="preserve">Total Program Cost Allocation </t>
  </si>
  <si>
    <t>Underspending of CWELCC program cost allocation</t>
  </si>
  <si>
    <t>2025 Program Staff Top-up Funding</t>
  </si>
  <si>
    <t xml:space="preserve">   </t>
  </si>
  <si>
    <t xml:space="preserve">Recovery of OTEF Major Capital </t>
  </si>
  <si>
    <t>Remaining Underspending</t>
  </si>
  <si>
    <t>Underspending from Cost Based funding being used</t>
  </si>
  <si>
    <t>Maximizing Program Cost Allocation (PCA)</t>
  </si>
  <si>
    <t>Available Underspending from PCA</t>
  </si>
  <si>
    <t xml:space="preserve">   One-time Emergency - Operating Funding Expense </t>
  </si>
  <si>
    <t>2025 CWELCC One-Time Emergency Funding - Major Capital</t>
  </si>
  <si>
    <t>2025 CWELCC One-Time Emergency Funding - Operating</t>
  </si>
  <si>
    <t>Funding Received for CWELCC</t>
  </si>
  <si>
    <t>Less: Actual Parent Revenue 0-6</t>
  </si>
  <si>
    <t>Less: Revenue received from Life Learning Day Fees 0-6</t>
  </si>
  <si>
    <t>Less: Child Care Fee Subsidy 0-6</t>
  </si>
  <si>
    <t xml:space="preserve">Step 1 CWELCC Funding Allocated </t>
  </si>
  <si>
    <r>
      <t>ii. Total program cost allocation</t>
    </r>
    <r>
      <rPr>
        <sz val="12"/>
        <color rgb="FFFF0000"/>
        <rFont val="Calibri"/>
        <family val="2"/>
        <scheme val="minor"/>
      </rPr>
      <t xml:space="preserve"> </t>
    </r>
  </si>
  <si>
    <t>i. 4.25% x Step 2a</t>
  </si>
  <si>
    <t xml:space="preserve">         i. Step 2a</t>
  </si>
  <si>
    <t xml:space="preserve">i. Expected base fee revenue offset </t>
  </si>
  <si>
    <r>
      <t>ii. Parental base fee revenue</t>
    </r>
    <r>
      <rPr>
        <b/>
        <sz val="12"/>
        <color rgb="FFFF0000"/>
        <rFont val="Calibri"/>
        <family val="2"/>
        <scheme val="minor"/>
      </rPr>
      <t xml:space="preserve"> </t>
    </r>
  </si>
  <si>
    <t>Financial Annual Information Return (FAIR) and 2025 CWELCC/OTEF Reconciliation for Single Site Operators</t>
  </si>
  <si>
    <t xml:space="preserve">Number of hours of enhanced program support provided (cumulative) </t>
  </si>
  <si>
    <t>Number of CWELCC eligible children that require extra support (cumulative) </t>
  </si>
  <si>
    <t>Total 2025 EPS Expenditure (CWELCC) </t>
  </si>
  <si>
    <r>
      <t>Definition: </t>
    </r>
    <r>
      <rPr>
        <sz val="11"/>
        <color rgb="FF000000"/>
        <rFont val="Aptos"/>
        <family val="2"/>
      </rPr>
      <t> </t>
    </r>
  </si>
  <si>
    <t>Total number of hours of enhanced program support provided in classrooms with CWELCC eligible children. The number of hours must align with the amount of funding spent on enhanced program support.</t>
  </si>
  <si>
    <t>Providers must report their total 2025 CWELCC  EPS expenditures</t>
  </si>
  <si>
    <t>KPI</t>
  </si>
  <si>
    <t>CWELCC Repayable details</t>
  </si>
  <si>
    <t xml:space="preserve">  CWELCC Reconciliation</t>
  </si>
  <si>
    <t>Make below white font colour</t>
  </si>
  <si>
    <t>2025 Life Long Learning Day on October 24</t>
  </si>
  <si>
    <t>CWELCC : OTEF operating</t>
  </si>
  <si>
    <t xml:space="preserve">Recovery </t>
  </si>
  <si>
    <t>Data element required for 0-6 age group</t>
  </si>
  <si>
    <t>Allocation with Actual Base Fee Revenue Offset</t>
  </si>
  <si>
    <t>0-6 Years</t>
  </si>
  <si>
    <t>6-12 Years</t>
  </si>
  <si>
    <t xml:space="preserve">   2025 Life Long Learning Day October - used</t>
  </si>
  <si>
    <t>Rationale for not using May 30,2025 data</t>
  </si>
  <si>
    <t xml:space="preserve">   2025 Non-Base revenue for 0-6</t>
  </si>
  <si>
    <t xml:space="preserve">Rationale and Calculations for Proration.  If overwriting proration formula rationale and calculations are mandatory. </t>
  </si>
  <si>
    <t>Cost of Project (incurred/final):</t>
  </si>
  <si>
    <t>Hide</t>
  </si>
  <si>
    <t>Year-End (e.g. December 31, 2025):</t>
  </si>
  <si>
    <t>Less Base Fee Revenue offset</t>
  </si>
  <si>
    <t>Life Long Learning Day Oct 24</t>
  </si>
  <si>
    <t>Which city does your centre (site) operate in?</t>
  </si>
  <si>
    <t>Add Mortgage Principal</t>
  </si>
  <si>
    <t xml:space="preserve">Important Note input the total expense.  </t>
  </si>
  <si>
    <t>A3.Peel Region grants</t>
  </si>
  <si>
    <t>A10. Definition Code</t>
  </si>
  <si>
    <t xml:space="preserve">No Input required </t>
  </si>
  <si>
    <t>Operating spaces for eligible (CWELCC) children (0-6 Yrs)</t>
  </si>
  <si>
    <t>Commercial</t>
  </si>
  <si>
    <t>Place of worship</t>
  </si>
  <si>
    <t>Public School</t>
  </si>
  <si>
    <t>Funding used</t>
  </si>
  <si>
    <t>OTEF Major Capital Funding</t>
  </si>
  <si>
    <t>OTEF Operating Funding</t>
  </si>
  <si>
    <t>The amount spent keeping wages the same for staff whose enhanced hourly wages were less in 2025 due to the change in the GOF order of operations (refer to 5.7 Wage Stability for employees affected by the change in the order of operations of this guideline).</t>
  </si>
  <si>
    <t>For wage stability, you must report the total number of program staff and supervisors serving CWELCC eligible children whose wages were held constant in 2025 because their 2025 hourly wages were less than their 2024 hourly wages due to the change in the wage calculation order of operations (Section 5.7 of this guideline).</t>
  </si>
  <si>
    <t>You must report paid planning time actual expenditures.</t>
  </si>
  <si>
    <t>212a</t>
  </si>
  <si>
    <t>212b</t>
  </si>
  <si>
    <t>451b(i)</t>
  </si>
  <si>
    <t>451o(i)</t>
  </si>
  <si>
    <t>461d</t>
  </si>
  <si>
    <t>461e</t>
  </si>
  <si>
    <t>471(a)</t>
  </si>
  <si>
    <t>471(b)</t>
  </si>
  <si>
    <t>471(c)</t>
  </si>
  <si>
    <t>481(a)</t>
  </si>
  <si>
    <t>481(b)</t>
  </si>
  <si>
    <t>481(c)</t>
  </si>
  <si>
    <t>EXPENSE DETAILS</t>
  </si>
  <si>
    <t>Providers are required to divide out 0-6 and 6-12 expenses for CWELCC reconciliation, you can use actual cost or the proration from tab 2.</t>
  </si>
  <si>
    <t>Has the project been completed as of Dec 31, 2025?</t>
  </si>
  <si>
    <t xml:space="preserve">   2025 CWELCC Cost-Based Funding - used</t>
  </si>
  <si>
    <t xml:space="preserve">   2025 School Age (6-12) Programs - Regional Funding - used</t>
  </si>
  <si>
    <t>SUMMARY OF RECONCILIATIONS - PEEL REGION</t>
  </si>
  <si>
    <t>1. Child Care Fees</t>
  </si>
  <si>
    <t>2. Nutrition</t>
  </si>
  <si>
    <t>3. Program Staffing</t>
  </si>
  <si>
    <t xml:space="preserve">Total Awarded Budget </t>
  </si>
  <si>
    <t>Financial Summary Description</t>
  </si>
  <si>
    <t>1. Parent Fees</t>
  </si>
  <si>
    <t>2. Lunch &amp; Refreshments</t>
  </si>
  <si>
    <t xml:space="preserve">3. Wages &amp; Mandatory Benefits for extenuating circumstances previously approved by the Region </t>
  </si>
  <si>
    <t>Funding Spent as reported on GovGrants</t>
  </si>
  <si>
    <t>Award Total</t>
  </si>
  <si>
    <t>Total OTEF Funding received in 2025</t>
  </si>
  <si>
    <t xml:space="preserve">Step 2a Actual CWELCC Program Cost based 
</t>
  </si>
  <si>
    <t>Step 2b Add Amount in Lieu of Profit/Surplus based</t>
  </si>
  <si>
    <t>Step 2c Less Actual Base Fee Revenue for 0-6</t>
  </si>
  <si>
    <t>Actual Base Fee Revenue 0-6</t>
  </si>
  <si>
    <t>Input below final Cost of Project</t>
  </si>
  <si>
    <t>Input below final Cost of Project:</t>
  </si>
  <si>
    <t>If approved for OTEF Major Capital, input amounts in green cells from APPROVAL MEMO.</t>
  </si>
  <si>
    <t>If approved for OTEF Operating, input amounts in green cells from APPROVAL MEMO.</t>
  </si>
  <si>
    <t>Memo Approval Amounts</t>
  </si>
  <si>
    <t>Net Actual eligible project costs eligible for OTEF</t>
  </si>
  <si>
    <t>Below amounts are being prepopulated from tab A3. Peel Region Grants</t>
  </si>
  <si>
    <t>A8. GovGrants (GG) input</t>
  </si>
  <si>
    <t>Funding spent on GovGrants split by 0-6 and 6-12</t>
  </si>
  <si>
    <t>GovGrants Budget Category</t>
  </si>
  <si>
    <t>Instructions for EPS</t>
  </si>
  <si>
    <t>Report only the KPIs &amp; expenses associated with enhanced program support staff serving centre-based CWELCC children.</t>
  </si>
  <si>
    <t>EPS funding must be used for staff wages and benefits only</t>
  </si>
  <si>
    <t>EPS staff cannot be included in the minimum ratio requirements and are not eligible for wage enhancements</t>
  </si>
  <si>
    <t>EPS staff must be compensated within Ontario's minimum wage and the hourly wage of the highest-earning non-supervisory RECE staff employed at your centre</t>
  </si>
  <si>
    <t>Enhanced Program Support (EPS) KPIS</t>
  </si>
  <si>
    <t>Funding spent on GovGrants 
split by 0-6 and 6-12</t>
  </si>
  <si>
    <t>Your Cost Share Contribution from Program Cost Allocation</t>
  </si>
  <si>
    <t xml:space="preserve">	2025 School Age (6-12) Programs</t>
  </si>
  <si>
    <t>Regional  OTEF expenses</t>
  </si>
  <si>
    <t xml:space="preserve">Typical hours of service per day </t>
  </si>
  <si>
    <t xml:space="preserve">Total number of CWELCC eligible children with cognitive, physical, social, emotional, communicative or behavioural needs, or whose overall developmental needs require additional support from program staff. </t>
  </si>
  <si>
    <t>.</t>
  </si>
  <si>
    <t>Captures provider identification details, including contact information and high-level organizational data.</t>
  </si>
  <si>
    <t>Enables providers to report their year-end financial position based on audited financial statements.</t>
  </si>
  <si>
    <t>Enables providers to report year-end revenue and expenses based on their financial statements. If services are delivered to children aged 6–12, a prorated adjustment is applied to total expenses to reflect this allocation.</t>
  </si>
  <si>
    <t>Performs year-end recovery calculations for CWELCC and OTEF operating grants based on reported financial data.</t>
  </si>
  <si>
    <t>Provides the amounts required for year-end reconciliation reporting under the 2025 CWELCC funding streams, including Cost-Based Funding, Allocation in Lieu of Profit/Surplus, and One-Time Emergency Funding announcements.</t>
  </si>
  <si>
    <t xml:space="preserve">i. Total CWELCC eligible expenses </t>
  </si>
  <si>
    <t>451m(i)</t>
  </si>
  <si>
    <t xml:space="preserve">   Transportation</t>
  </si>
  <si>
    <t xml:space="preserve">   Professional Learning Costs </t>
  </si>
  <si>
    <t xml:space="preserve">SALARY COSTS (SALARIES &amp; BENEFITS) </t>
  </si>
  <si>
    <t>Total Actual Cost of Project (maxed to approval amt)</t>
  </si>
  <si>
    <t xml:space="preserve">Total Spent for 0-12 </t>
  </si>
  <si>
    <t>Covered by Insurance</t>
  </si>
  <si>
    <t>Covered by Landlord</t>
  </si>
  <si>
    <t>6-12 Age Group Portion</t>
  </si>
  <si>
    <t>Cost Sharing</t>
  </si>
  <si>
    <t>Less:  One-time Emergency - Operating Funding  - Net Actual eligible project</t>
  </si>
  <si>
    <t xml:space="preserve">Less:  One-time Emergency - Operating Funding - Cost Share Contribution </t>
  </si>
  <si>
    <t>Total Capital Grants Funding</t>
  </si>
  <si>
    <t xml:space="preserve">  Your Cost Share Contribution </t>
  </si>
  <si>
    <r>
      <t>Instructions for Allocation:</t>
    </r>
    <r>
      <rPr>
        <sz val="12"/>
        <rFont val="Calibri"/>
        <family val="2"/>
        <scheme val="minor"/>
      </rPr>
      <t xml:space="preserve"> Input information in green cells only.  Enter the funding allocations calculated by the Region of Peel.  The below information can be found in GovGrants. Refer to your 2025 CWELCC Cost-Based Funding and 2025 CWELCC – Allocation in Lieu of Profit/Surplus grants.</t>
    </r>
  </si>
  <si>
    <t xml:space="preserve">Awarded budget and Funding used on GovGrants can be found on the 2025 Life Long Learning Day on October 24 announcement in GovGrants.  </t>
  </si>
  <si>
    <t>Amount to claim for OTEF in GovGrants</t>
  </si>
  <si>
    <t>GovGrants Budget Categories</t>
  </si>
  <si>
    <t>Awarded budget and Funding used on GovGrants can be found on the 2025 School Age (6-12) Programs announcement in GovGrants</t>
  </si>
  <si>
    <t>GovGrants Input</t>
  </si>
  <si>
    <t>Staff wages and benefits</t>
  </si>
  <si>
    <t>Standardized Financial Report and Annual Attestation for Cost-Based Funding (CBF) - Centres</t>
  </si>
  <si>
    <t>Basic Information</t>
  </si>
  <si>
    <t>Enter basic information in regards to the eligible centre</t>
  </si>
  <si>
    <r>
      <t xml:space="preserve">Licence number </t>
    </r>
    <r>
      <rPr>
        <i/>
        <sz val="10.199999999999999"/>
        <color theme="1"/>
        <rFont val="Arial Nova"/>
        <family val="2"/>
      </rPr>
      <t>(enter exactly how it appears in the Child Care Licensing System):</t>
    </r>
  </si>
  <si>
    <t>A</t>
  </si>
  <si>
    <r>
      <t>Eligible centre name</t>
    </r>
    <r>
      <rPr>
        <i/>
        <sz val="10.199999999999999"/>
        <color theme="1"/>
        <rFont val="Arial Nova"/>
        <family val="2"/>
      </rPr>
      <t>:</t>
    </r>
  </si>
  <si>
    <t>B</t>
  </si>
  <si>
    <r>
      <t xml:space="preserve">Licensee name </t>
    </r>
    <r>
      <rPr>
        <i/>
        <sz val="10.199999999999999"/>
        <color theme="1"/>
        <rFont val="Arial Nova"/>
        <family val="2"/>
      </rPr>
      <t>(enter exactly how it appears in the Child Care Licensing System) :</t>
    </r>
  </si>
  <si>
    <t>C</t>
  </si>
  <si>
    <r>
      <t>CWELCC enrolment date</t>
    </r>
    <r>
      <rPr>
        <i/>
        <sz val="10.199999999999999"/>
        <color theme="1"/>
        <rFont val="Arial Nova"/>
        <family val="2"/>
      </rPr>
      <t xml:space="preserve"> (enter as yyyy-mm-dd)</t>
    </r>
    <r>
      <rPr>
        <sz val="12"/>
        <color theme="1"/>
        <rFont val="Arial Nova"/>
        <family val="2"/>
      </rPr>
      <t>:</t>
    </r>
  </si>
  <si>
    <t>D</t>
  </si>
  <si>
    <r>
      <t>CMSM/DSSAB</t>
    </r>
    <r>
      <rPr>
        <i/>
        <sz val="10.199999999999999"/>
        <color theme="1"/>
        <rFont val="Arial Nova"/>
        <family val="2"/>
      </rPr>
      <t xml:space="preserve"> (select from drop-down)</t>
    </r>
    <r>
      <rPr>
        <sz val="12"/>
        <color theme="1"/>
        <rFont val="Arial Nova"/>
        <family val="2"/>
      </rPr>
      <t>:</t>
    </r>
  </si>
  <si>
    <r>
      <t>EFIS ID</t>
    </r>
    <r>
      <rPr>
        <i/>
        <sz val="10.199999999999999"/>
        <rFont val="Arial Nova"/>
        <family val="2"/>
      </rPr>
      <t xml:space="preserve"> (auto populated)</t>
    </r>
    <r>
      <rPr>
        <sz val="12"/>
        <rFont val="Arial Nova"/>
        <family val="2"/>
      </rPr>
      <t>:</t>
    </r>
  </si>
  <si>
    <t>E</t>
  </si>
  <si>
    <t>Reporting Year:</t>
  </si>
  <si>
    <t>F</t>
  </si>
  <si>
    <t>Operational Information</t>
  </si>
  <si>
    <t>Enter information about the operational reality for the calendar year</t>
  </si>
  <si>
    <t>Total number of service days the centre was open during the calendar year</t>
  </si>
  <si>
    <t>1OP</t>
  </si>
  <si>
    <r>
      <t xml:space="preserve">Actual Number of 
</t>
    </r>
    <r>
      <rPr>
        <b/>
        <sz val="12"/>
        <color theme="1"/>
        <rFont val="Arial Nova"/>
        <family val="2"/>
      </rPr>
      <t>Operating</t>
    </r>
    <r>
      <rPr>
        <sz val="12"/>
        <color theme="1"/>
        <rFont val="Arial Nova"/>
        <family val="2"/>
      </rPr>
      <t xml:space="preserve"> space-days for the calendar year</t>
    </r>
  </si>
  <si>
    <r>
      <t xml:space="preserve">Actual Number of 
</t>
    </r>
    <r>
      <rPr>
        <b/>
        <sz val="12"/>
        <color theme="1"/>
        <rFont val="Arial Nova"/>
        <family val="2"/>
      </rPr>
      <t>Licensed</t>
    </r>
    <r>
      <rPr>
        <sz val="12"/>
        <color theme="1"/>
        <rFont val="Arial Nova"/>
        <family val="2"/>
      </rPr>
      <t xml:space="preserve"> space-days for the calendar year</t>
    </r>
  </si>
  <si>
    <t xml:space="preserve">Infant </t>
  </si>
  <si>
    <t>2OP</t>
  </si>
  <si>
    <t>8OP</t>
  </si>
  <si>
    <t xml:space="preserve">Toddler </t>
  </si>
  <si>
    <t>3OP</t>
  </si>
  <si>
    <t>9OP</t>
  </si>
  <si>
    <t>4OP</t>
  </si>
  <si>
    <t>10OP</t>
  </si>
  <si>
    <t>Kindergarten</t>
  </si>
  <si>
    <t>5OP</t>
  </si>
  <si>
    <t>11OP</t>
  </si>
  <si>
    <t>Family Age Group</t>
  </si>
  <si>
    <t>6OP</t>
  </si>
  <si>
    <t>12OP</t>
  </si>
  <si>
    <t>School Age</t>
  </si>
  <si>
    <t>7OP</t>
  </si>
  <si>
    <t>13OP</t>
  </si>
  <si>
    <t>Financial Information</t>
  </si>
  <si>
    <t>Actual Base Fee Revenue Offset</t>
  </si>
  <si>
    <t>Enter the base fee revenue related to eligible children earned by the eligible centre during the calendar year</t>
  </si>
  <si>
    <t>Actual Base Fee Revenue from Parents</t>
  </si>
  <si>
    <t>1FIN</t>
  </si>
  <si>
    <t>Actual Base Fee Revenue from Fee Subsidies</t>
  </si>
  <si>
    <t>2FIN</t>
  </si>
  <si>
    <t>Actual Program Costs</t>
  </si>
  <si>
    <t>Enter the sum of all eligible costs (attributable, appropriate and reasonable) incurred during the calendar year in respect of the eligible centre</t>
  </si>
  <si>
    <t xml:space="preserve"> and net of any cost funded by another public source or reimbursed by another source</t>
  </si>
  <si>
    <t>Eligible Cost</t>
  </si>
  <si>
    <t>Program Staff</t>
  </si>
  <si>
    <t>Actual Program Staffing, Wages by Employer</t>
  </si>
  <si>
    <t>3FIN</t>
  </si>
  <si>
    <t>Actual Program Staffing, WEG and Workforce Compensation</t>
  </si>
  <si>
    <t>4FIN</t>
  </si>
  <si>
    <t>Actual Program Staffing, Employee Statutory Obligations</t>
  </si>
  <si>
    <t>5FIN</t>
  </si>
  <si>
    <t>Actual Program Staffing, Employee Supplementary Benefits</t>
  </si>
  <si>
    <t>6FIN</t>
  </si>
  <si>
    <t>Actual Program Staffing, Other Costs</t>
  </si>
  <si>
    <t>7FIN</t>
  </si>
  <si>
    <t>Actual Program Staffing, Average Paid Vacation and Sick Days</t>
  </si>
  <si>
    <t>8FIN</t>
  </si>
  <si>
    <t>Supervisors</t>
  </si>
  <si>
    <t>Actual Supervisor, Wages by Employer</t>
  </si>
  <si>
    <t>9FIN</t>
  </si>
  <si>
    <t>Actual Supervisor, WEG and Workforce Compensation</t>
  </si>
  <si>
    <t>10FIN</t>
  </si>
  <si>
    <t>Actual Supervisor, Employee Statutory Obligations</t>
  </si>
  <si>
    <t>11FIN</t>
  </si>
  <si>
    <t>Actual Supervisor, Employee Supplementary Benefits</t>
  </si>
  <si>
    <t>12FIN</t>
  </si>
  <si>
    <t>Actual Supervisor, Other Costs</t>
  </si>
  <si>
    <t>13FIN</t>
  </si>
  <si>
    <t>Actual Supervisor, Average Paid Vacation and Sick Days</t>
  </si>
  <si>
    <t>14FIN</t>
  </si>
  <si>
    <t>Actual Accommodation, Mortgage Payment (include interest and principal)</t>
  </si>
  <si>
    <t>15FIN</t>
  </si>
  <si>
    <t>Actual Accommodation, Occupancy Costs (for example, rent or lease)</t>
  </si>
  <si>
    <t>16FIN</t>
  </si>
  <si>
    <t>Actual Accommodation, Amortization of Facilities (for example, leasehold improvements or other)</t>
  </si>
  <si>
    <t>17FIN</t>
  </si>
  <si>
    <t>Actual Accommodation, Property Taxes</t>
  </si>
  <si>
    <t>18FIN</t>
  </si>
  <si>
    <t>Actual Accommodation, Other</t>
  </si>
  <si>
    <t>19FIN</t>
  </si>
  <si>
    <t>Actual Operation, Salaries and Benefits for Staff, excluding Program Staff and Supervisor(s)</t>
  </si>
  <si>
    <t>20FIN</t>
  </si>
  <si>
    <t>Actual Operation, Bonuses for Staff, excluding Program Staff and Supervisor(s)</t>
  </si>
  <si>
    <t>21FIN</t>
  </si>
  <si>
    <t>Actual Operation, Food and Catering</t>
  </si>
  <si>
    <t>22FIN</t>
  </si>
  <si>
    <t>Actual Operation, Utilities, Insurance, and Other Services (for example, internet, phones, marketing)</t>
  </si>
  <si>
    <t>23FIN</t>
  </si>
  <si>
    <t>Actual Operation, Toys, Materials, and Other Goods</t>
  </si>
  <si>
    <t>24FIN</t>
  </si>
  <si>
    <t>Actual Operation, Minor Repairs and Maintenance</t>
  </si>
  <si>
    <t>25FIN</t>
  </si>
  <si>
    <t>Actual Operation, Interest and Bank Charges (excluding mortgage interest)</t>
  </si>
  <si>
    <t>26FIN</t>
  </si>
  <si>
    <t>Actual Operation, Principal on Debt (for example, bonds, debentures, long-term debt)</t>
  </si>
  <si>
    <t>27FIN</t>
  </si>
  <si>
    <t>Actual Operation, Other</t>
  </si>
  <si>
    <t>28FIN</t>
  </si>
  <si>
    <t>= Total sum of all eligible costs incurred for the eligible centre, BEFORE one-time, unexpected costs</t>
  </si>
  <si>
    <t>Actual Cost Covered as per Approved One-Time, Unexpected Cost</t>
  </si>
  <si>
    <t>29FIN</t>
  </si>
  <si>
    <t>= Total sum of all eligible costs incurred for the eligible centre, AFTER one-time, unexpected costs</t>
  </si>
  <si>
    <t>30FIN</t>
  </si>
  <si>
    <t>Contact name for SFR (use first and last name)</t>
  </si>
  <si>
    <t>Phone number for SFR contact</t>
  </si>
  <si>
    <t>Email address for SFR contact</t>
  </si>
  <si>
    <t>1C</t>
  </si>
  <si>
    <t>2C</t>
  </si>
  <si>
    <t>3C</t>
  </si>
  <si>
    <t>Annual Attestation</t>
  </si>
  <si>
    <t>SFR Signing Officer (use first and last name)</t>
  </si>
  <si>
    <t>4C</t>
  </si>
  <si>
    <t xml:space="preserve">Signature: </t>
  </si>
  <si>
    <t>SFR Sign-off Date</t>
  </si>
  <si>
    <t>5C</t>
  </si>
  <si>
    <t xml:space="preserve">
</t>
  </si>
  <si>
    <t>Basic information in regards to the eligible centre (pre-populated from previous tab)</t>
  </si>
  <si>
    <t>CMSM/DSSAB:</t>
  </si>
  <si>
    <t>Reporting Year</t>
  </si>
  <si>
    <t>Step 1: Funding Provided</t>
  </si>
  <si>
    <t>Enter the disbursements made to Licensee during the calendar year in respect of Cost-Based Funding Allocation</t>
  </si>
  <si>
    <r>
      <t xml:space="preserve">Disbursements to eligible centre in respect to Cost-Based Funding, </t>
    </r>
    <r>
      <rPr>
        <u/>
        <sz val="12"/>
        <color theme="1"/>
        <rFont val="Arial Nova"/>
        <family val="2"/>
      </rPr>
      <t>reflective of any agreed upon reductions and net of in-year recoveries</t>
    </r>
  </si>
  <si>
    <t>1YND</t>
  </si>
  <si>
    <t>Disbursements to eligible centre in respect to One-Time, Unexpected Costs</t>
  </si>
  <si>
    <t>2YND</t>
  </si>
  <si>
    <t>Enter the eligible centre's elements of the Cost-Based Funding Allocation (or notional allocation), include any in-year adjustments.</t>
  </si>
  <si>
    <t>These amounts are typically included in service agreements between the licensee and the CMSM/DSSAB</t>
  </si>
  <si>
    <t>Benchmark Allocation</t>
  </si>
  <si>
    <t>3YND</t>
  </si>
  <si>
    <t>Legacy Top-up Allocation</t>
  </si>
  <si>
    <t>4YND</t>
  </si>
  <si>
    <t>Growth Top-up Allocation</t>
  </si>
  <si>
    <t>5YND</t>
  </si>
  <si>
    <t>= Program Costs Allocation</t>
  </si>
  <si>
    <t>Allocation in Lieu of Profit/Surplus</t>
  </si>
  <si>
    <t>6YND</t>
  </si>
  <si>
    <t>Expected Base Fee Revenue Offset (enter as negative number)</t>
  </si>
  <si>
    <t>7YND</t>
  </si>
  <si>
    <t>= Cost-Based Funding Allocation</t>
  </si>
  <si>
    <t>Approved one-time, unexpected cost</t>
  </si>
  <si>
    <t>8YND</t>
  </si>
  <si>
    <t>Step 2: Actual Program Costs</t>
  </si>
  <si>
    <t>Calculate the Actual Program Costs as the lesser of the total sum of all eligible costs incurred for the eligible centre and the Program Costs Allocation</t>
  </si>
  <si>
    <t>Total sum of all eligible costs incurred for the eligible centre, before one-time, unexpected costs</t>
  </si>
  <si>
    <t>vs. Program Costs Allocation</t>
  </si>
  <si>
    <t xml:space="preserve">= Actual Program Costs </t>
  </si>
  <si>
    <t>9YND</t>
  </si>
  <si>
    <t>Step 3: Actual Amount in Lieu of Profit/Surplus</t>
  </si>
  <si>
    <t>Calculate the Actual Amount in Lieu of Profit/Surplus based on the Actual Program Costs (from Step 2)</t>
  </si>
  <si>
    <t>Base rate amount of 4.25% applied to the Actual Program Cost</t>
  </si>
  <si>
    <t>Plus, premium rate amount of 3.5% applied to the lesser of the Actual Program Cost and the benchmark allocation portion of the Program Cost Allocation</t>
  </si>
  <si>
    <t>Plus, a flat amount of $6,000 prorated by the whole number of months (partial or full) in the calendar year in which the eligible centre participated in CWELCC, divided by 12</t>
  </si>
  <si>
    <t>= Actual Amount in Lieu of Profit Surplus</t>
  </si>
  <si>
    <t>10YND</t>
  </si>
  <si>
    <t>Step 4: Actual Base Fee Revenue Offset</t>
  </si>
  <si>
    <t>Calculate the Actual Base Fee Revenue Offset</t>
  </si>
  <si>
    <t>Base fee revenue - from parent/guardians</t>
  </si>
  <si>
    <t>Base fee revenue - from fee subsidies</t>
  </si>
  <si>
    <t>vs. Expected Base Fee Revenue Offset</t>
  </si>
  <si>
    <t>= Actual Base Fee Revenue</t>
  </si>
  <si>
    <t>11YND</t>
  </si>
  <si>
    <t>Step 5: Actual Cost-Based Funding</t>
  </si>
  <si>
    <t xml:space="preserve">Calculate Actual Cost-Based Funding </t>
  </si>
  <si>
    <t>Plus Actual Amount in Lieu of Profit Surplus</t>
  </si>
  <si>
    <t>Minus Actual Base Fee Revenue</t>
  </si>
  <si>
    <t>= Actual Cost-Based Funding</t>
  </si>
  <si>
    <t>12YND</t>
  </si>
  <si>
    <t>Step 6: Overpayment</t>
  </si>
  <si>
    <t>Calculate any overpayment payable to the CMSM/DSSAB in respect to Cost-Based Funding</t>
  </si>
  <si>
    <t xml:space="preserve">Disbursements to eligible centre in respect to Cost-Based Funding, net of any in-year recoveries </t>
  </si>
  <si>
    <t>Actual Cost-Based Funding</t>
  </si>
  <si>
    <t>14YND</t>
  </si>
  <si>
    <t>Calculate any overpayment payable to the CMSM/DSSAB in respect to approved one-time, unexpected costs</t>
  </si>
  <si>
    <t>Cost incurred covered by approved one-time, unexpected cost</t>
  </si>
  <si>
    <t>vs. Approved one-time, unexpected cost</t>
  </si>
  <si>
    <t>Actual Cost to be covered by approved one-time, unexpected cost</t>
  </si>
  <si>
    <t>13YND</t>
  </si>
  <si>
    <t>vs. Disbursements to eligible centre in respect to one-time, unexpected costs</t>
  </si>
  <si>
    <t>15YND</t>
  </si>
  <si>
    <t>Calculate total overpayment payable to the CMSM/DSSAB</t>
  </si>
  <si>
    <t>Step 7: Rolling Top-Up Ratio</t>
  </si>
  <si>
    <t>Calculate Rolling Top-Up Ratio (applicable to existing spaces for 2026 CBF Allocation)</t>
  </si>
  <si>
    <t xml:space="preserve">Actual Program Costs </t>
  </si>
  <si>
    <t>16YND</t>
  </si>
  <si>
    <t>Provide the date when CMSD/DSSAB closed-off the year-end reconciliation with the licensee</t>
  </si>
  <si>
    <t>17YND</t>
  </si>
  <si>
    <t>EFISID </t>
  </si>
  <si>
    <t>LicenceNumber </t>
  </si>
  <si>
    <t>CentreName </t>
  </si>
  <si>
    <t>LicenseeName </t>
  </si>
  <si>
    <t>EnrolmentDate </t>
  </si>
  <si>
    <t>RepYear</t>
  </si>
  <si>
    <t>Contact </t>
  </si>
  <si>
    <t>ContactNumber </t>
  </si>
  <si>
    <t>ContactEmail </t>
  </si>
  <si>
    <t>SignOfficer </t>
  </si>
  <si>
    <t>SignDate </t>
  </si>
  <si>
    <t>ActTtlAHDays </t>
  </si>
  <si>
    <t>FeeRevParents </t>
  </si>
  <si>
    <t>FeeRevSubsds </t>
  </si>
  <si>
    <t>Op1S&amp;BOther </t>
  </si>
  <si>
    <t>Op2Bonuses </t>
  </si>
  <si>
    <t>Op3Food </t>
  </si>
  <si>
    <t>Op4Serv </t>
  </si>
  <si>
    <t>Op5Goods </t>
  </si>
  <si>
    <t>Op6Rep&amp;Main </t>
  </si>
  <si>
    <t>Op7DebtFincng </t>
  </si>
  <si>
    <t>Op8DebtPrncpl </t>
  </si>
  <si>
    <t>Op9Other </t>
  </si>
  <si>
    <t>OTC </t>
  </si>
  <si>
    <t>SNR</t>
  </si>
  <si>
    <t>DisbCBF </t>
  </si>
  <si>
    <t>DisbOTC </t>
  </si>
  <si>
    <t>AllocBMK </t>
  </si>
  <si>
    <t>AllocLTU </t>
  </si>
  <si>
    <t>AllocGTU </t>
  </si>
  <si>
    <t>AllocProfSurp </t>
  </si>
  <si>
    <t>AllocExpFeeRev </t>
  </si>
  <si>
    <t>AllocOTC </t>
  </si>
  <si>
    <t>ActPrgrmCosts </t>
  </si>
  <si>
    <t>ActP/S </t>
  </si>
  <si>
    <t>ActRevOffset </t>
  </si>
  <si>
    <t>ActCBF </t>
  </si>
  <si>
    <t>ActOTCost </t>
  </si>
  <si>
    <t>DueToFromSSMCBF </t>
  </si>
  <si>
    <t>DueToFromSSMOTC </t>
  </si>
  <si>
    <t>YNDFinDate</t>
  </si>
  <si>
    <t>Program Staff Total</t>
  </si>
  <si>
    <t>Other Staff Wages</t>
  </si>
  <si>
    <t>Other - please specify</t>
  </si>
  <si>
    <t xml:space="preserve">   Interest (excluding mortgage interest)</t>
  </si>
  <si>
    <t>Licence number (enter exactly how it appears in the Child Care Licensing System)</t>
  </si>
  <si>
    <t>Licensee name (enter exactly how it appears in the Child Care Licensing System)</t>
  </si>
  <si>
    <t>Regional Municipality of Peel </t>
  </si>
  <si>
    <t>CWELCC enrolment date (enter as yyyy-mm-dd):</t>
  </si>
  <si>
    <r>
      <rPr>
        <b/>
        <sz val="11"/>
        <color theme="1"/>
        <rFont val="Calibri"/>
        <family val="2"/>
        <scheme val="minor"/>
      </rPr>
      <t>Operating Plan</t>
    </r>
    <r>
      <rPr>
        <sz val="11"/>
        <color theme="1"/>
        <rFont val="Calibri"/>
        <family val="2"/>
        <scheme val="minor"/>
      </rPr>
      <t>: This section is used to calculate the proportional allocation of eligible expenses between children aged 0–6 (eligible) and 6–12 (non-eligible). To ensure consistency with benchmark calculations, providers must use operating data as of May 30, 2025. If alternative service level data is used, providers must supply the corresponding figures along with a clear rationale for the deviation from the May 30 benchmark.</t>
    </r>
  </si>
  <si>
    <t>Contact info: (use first and last name)</t>
  </si>
  <si>
    <t>Phone number for contact</t>
  </si>
  <si>
    <t>Email address  for contact</t>
  </si>
  <si>
    <t>Signing Officer (first and last name)</t>
  </si>
  <si>
    <t>Sign-off Date</t>
  </si>
  <si>
    <t>Tab</t>
  </si>
  <si>
    <t>FOR REVIEW ONLY</t>
  </si>
  <si>
    <t>Actual Management Salaries &amp; Benefits (excluding management fee)</t>
  </si>
  <si>
    <t>= Rolling Top-up Ratio for 2026</t>
  </si>
  <si>
    <t>2025 CWELCC Cost-Based Funding - used and 2025 CWELCC – Allocation in Lieu of Profit/Surplus - used, are adjusted as expenses are entered below.</t>
  </si>
  <si>
    <t>ActOperS-DInf </t>
  </si>
  <si>
    <t>ActOperS-DTod </t>
  </si>
  <si>
    <t>ActOperS-DPSch </t>
  </si>
  <si>
    <t>ActOperS-DKin </t>
  </si>
  <si>
    <t>ActOperS-DFA </t>
  </si>
  <si>
    <t>ActOperS-DSchA </t>
  </si>
  <si>
    <t>ActLiceS-DInf </t>
  </si>
  <si>
    <t>ActLiceS-DTod </t>
  </si>
  <si>
    <t>ActLiceS-DPSch </t>
  </si>
  <si>
    <t>ActLiceS-DKin </t>
  </si>
  <si>
    <t>ActLiceS-DFA </t>
  </si>
  <si>
    <t>ActLiceS-DSchA </t>
  </si>
  <si>
    <t>PS1Wages </t>
  </si>
  <si>
    <t>PS2WEnh </t>
  </si>
  <si>
    <t>PS3BenStat </t>
  </si>
  <si>
    <t>PS4BenSupp </t>
  </si>
  <si>
    <t>PS9Other </t>
  </si>
  <si>
    <t>PS99VacSckDays </t>
  </si>
  <si>
    <t>S1Wages </t>
  </si>
  <si>
    <t>S2WEnh </t>
  </si>
  <si>
    <t>S3BenStat </t>
  </si>
  <si>
    <t>S4BenSupp </t>
  </si>
  <si>
    <t>S9Other </t>
  </si>
  <si>
    <t>S99VacSckDays </t>
  </si>
  <si>
    <t>Acc1Mort </t>
  </si>
  <si>
    <t>Acc2Occ </t>
  </si>
  <si>
    <t>Acc3Amort </t>
  </si>
  <si>
    <t>Acc4PrprtTx </t>
  </si>
  <si>
    <t>Acc9Other </t>
  </si>
  <si>
    <t>RollTopUpRatio </t>
  </si>
  <si>
    <t>Centre-Based, Home-Based or both:</t>
  </si>
  <si>
    <t>Average Paid Vacation and Sick Days</t>
  </si>
  <si>
    <t>A11.Licensee's SFR&amp; Attestation</t>
  </si>
  <si>
    <t>A12. YND Reconciliation</t>
  </si>
  <si>
    <t>300a</t>
  </si>
  <si>
    <t>300b</t>
  </si>
  <si>
    <t>300c</t>
  </si>
  <si>
    <t>300d</t>
  </si>
  <si>
    <t>300e</t>
  </si>
  <si>
    <t>300f</t>
  </si>
  <si>
    <t>300g</t>
  </si>
  <si>
    <t>300h</t>
  </si>
  <si>
    <t>ID105</t>
  </si>
  <si>
    <t>ID106</t>
  </si>
  <si>
    <t>ID110</t>
  </si>
  <si>
    <t>A5. Financial Position</t>
  </si>
  <si>
    <t>A6. Operations</t>
  </si>
  <si>
    <t>A7. 2025 CWELCC &amp; OTEF Recon</t>
  </si>
  <si>
    <t>ID112</t>
  </si>
  <si>
    <t xml:space="preserve">Input yellow highlighted amounts in your GovGrants announcements.  </t>
  </si>
  <si>
    <t>411e</t>
  </si>
  <si>
    <t>411f</t>
  </si>
  <si>
    <t>411h</t>
  </si>
  <si>
    <t>411g</t>
  </si>
  <si>
    <t>411i</t>
  </si>
  <si>
    <t>411j</t>
  </si>
  <si>
    <t>411k</t>
  </si>
  <si>
    <t>411l</t>
  </si>
  <si>
    <t>411m</t>
  </si>
  <si>
    <t>411n</t>
  </si>
  <si>
    <t>411o</t>
  </si>
  <si>
    <t>411p</t>
  </si>
  <si>
    <t>411q</t>
  </si>
  <si>
    <t>411r</t>
  </si>
  <si>
    <t>ID114</t>
  </si>
  <si>
    <t>Attestation</t>
  </si>
  <si>
    <t>Tab A11 and A12 collects financial data required to complete the Standardized Financial Report (SFR) as mandated by the Ministry of Education. The information gathered ensures compliance with provincial reporting standards and supports accurate funding and accountability processes.</t>
  </si>
  <si>
    <r>
      <rPr>
        <b/>
        <sz val="11"/>
        <color theme="1"/>
        <rFont val="Calibri"/>
        <family val="2"/>
        <scheme val="minor"/>
      </rPr>
      <t xml:space="preserve">Allocation: </t>
    </r>
    <r>
      <rPr>
        <sz val="11"/>
        <color theme="1"/>
        <rFont val="Calibri"/>
        <family val="2"/>
        <scheme val="minor"/>
      </rPr>
      <t>Providers enter in their final CWELCC allocation from GovGrants.  This information is required to calculate CWELCC eligible costs and year end recovery.</t>
    </r>
  </si>
  <si>
    <t>CWELCC</t>
  </si>
  <si>
    <t>Refer to your 2025 Program Staff reconciliation and input below amounts from part 4</t>
  </si>
  <si>
    <t>&lt;---- Click here to expand or collapse section</t>
  </si>
  <si>
    <t>NOTE DISCLOSURE FOR FINANCIAL STATEMENTS</t>
  </si>
  <si>
    <t>2024 &amp; 2025 Expansion funding  (Start up projects &amp; 2025 ELCCI Funding in GovGrants)</t>
  </si>
  <si>
    <t xml:space="preserve">   2025 One-time Emergency Funding - Operating - used</t>
  </si>
  <si>
    <t xml:space="preserve">   2025 Program Staff top up - used</t>
  </si>
  <si>
    <t>OTHER INELIGIBLE EXPENSES for 0-6 FAMILIES - Do not include these expenses in above Expenses</t>
  </si>
  <si>
    <t>Average number of paid sick days and paid vacation days that supervisors were entitled to in the reporting year as per their employment contracts</t>
  </si>
  <si>
    <t xml:space="preserve">Actual Non Program staff wages Salaries and Benefits </t>
  </si>
  <si>
    <t>Actual Non Program staff wages bonuses</t>
  </si>
  <si>
    <t>Actual Management Bonuses (excluding management fee)</t>
  </si>
  <si>
    <t xml:space="preserve">Click on the plus sign beside the row numbers to expand section or negative sign to collapse the section. </t>
  </si>
  <si>
    <t>Providers must input both the allocated amounts and actual expenditures for each applicable regional grant. Information entered in this tab automatically populates corresponding fields in tabs  A5, A6,A7, A8, and A9 to facilitate streamlined reporting. For additional guidance, refer to tab A3.</t>
  </si>
  <si>
    <r>
      <t xml:space="preserve">Instructions:  </t>
    </r>
    <r>
      <rPr>
        <b/>
        <sz val="11"/>
        <color theme="1"/>
        <rFont val="Calibri"/>
        <family val="2"/>
        <scheme val="minor"/>
      </rPr>
      <t>Input data in green cells only.  Enter the service level data for the site as of May 30, 2</t>
    </r>
    <r>
      <rPr>
        <b/>
        <sz val="11"/>
        <rFont val="Calibri"/>
        <family val="2"/>
        <scheme val="minor"/>
      </rPr>
      <t>025 (benchmark allocations based on May 30 data)</t>
    </r>
    <r>
      <rPr>
        <b/>
        <sz val="11"/>
        <color theme="1"/>
        <rFont val="Calibri"/>
        <family val="2"/>
        <scheme val="minor"/>
      </rPr>
      <t>.  If not using service level data as of May 30, 2025, below provide the date for service level data and reasoning for not using May 30, 2025.</t>
    </r>
  </si>
  <si>
    <t xml:space="preserve">Input amounts from Approval memo and complete reconciliation in GovGrants.  Any underspending in Cost Based funding will be applied to OTEF operating reconciliation to maximize cost based funding allocation.  See tab A7 for details and tab A8 for reporting in GovGrants. </t>
  </si>
  <si>
    <t xml:space="preserve">   2025 CWELCC – Allocation in Lieu of Profit/Surplus </t>
  </si>
  <si>
    <t xml:space="preserve">   2025 Child Care Fee Subsidy received from Peel</t>
  </si>
  <si>
    <t>Amortization for Capital Assets (Eligible for Cost-Based funding)</t>
  </si>
  <si>
    <t>Amortization for Capital Assets (Ineligible for Cost-Based Funding)</t>
  </si>
  <si>
    <t xml:space="preserve">Input amounts from approval memo.  If the project has been completed as of Dec 31, 2025 the amount to report spent on GovGrants will show on tab A8.
If the project has not been completed as of Dec 31, 2025 the amount to report as spent on tab 8 will not be displayed, also tab A5 will update the deferral revenue.  If the project is not complete, however costs have been occurred enter amount of incurred costs in Cost of Project (incurred/final).  Complete the reconciliation once the project is completed.   
If the project has not been completed and costs incurred exceed approval amount, providers are required to complete OTEF reconciliation and tab A8 will provide Gov Grants input.   </t>
  </si>
  <si>
    <t xml:space="preserve">2025 Canada-wide early learning and child care (CWELCC) funding guideline </t>
  </si>
  <si>
    <t>Link to 2025 CWELCC guideline:</t>
  </si>
  <si>
    <r>
      <rPr>
        <b/>
        <sz val="16"/>
        <color theme="4" tint="-0.249977111117893"/>
        <rFont val="Calibri"/>
        <family val="2"/>
        <scheme val="minor"/>
      </rPr>
      <t>2025 Life Long Learning Day October:</t>
    </r>
    <r>
      <rPr>
        <b/>
        <sz val="12"/>
        <color theme="4" tint="-0.249977111117893"/>
        <rFont val="Calibri"/>
        <family val="2"/>
        <scheme val="minor"/>
      </rPr>
      <t xml:space="preserve"> </t>
    </r>
    <r>
      <rPr>
        <b/>
        <sz val="12"/>
        <color theme="1"/>
        <rFont val="Calibri"/>
        <family val="2"/>
        <scheme val="minor"/>
      </rPr>
      <t>If you received this funding, providers must input a breakdown of parent fees between age groups 0–6 and 6–12. Revenue attributed to children aged 0–6 is added to parental revenue for CWELCC entitlement calculations on tabs A6 and A7. The remaining revenue is allocated to the 6–12 age group on tab A6. Expenses associated with the 0–6 age group are used to reconcile CWELCC funding. The amounts entered also update the Summary of Reconciliations on tab A9.</t>
    </r>
  </si>
  <si>
    <r>
      <rPr>
        <b/>
        <sz val="16"/>
        <color theme="4" tint="-0.249977111117893"/>
        <rFont val="Calibri"/>
        <family val="2"/>
        <scheme val="minor"/>
      </rPr>
      <t>2025 CWELCC One Time Emergency Funding (OTEF) - Operating</t>
    </r>
    <r>
      <rPr>
        <b/>
        <sz val="14"/>
        <color theme="4" tint="-0.249977111117893"/>
        <rFont val="Calibri"/>
        <family val="2"/>
        <scheme val="minor"/>
      </rPr>
      <t>:</t>
    </r>
    <r>
      <rPr>
        <b/>
        <sz val="12"/>
        <color theme="4" tint="-0.249977111117893"/>
        <rFont val="Calibri"/>
        <family val="2"/>
        <scheme val="minor"/>
      </rPr>
      <t xml:space="preserve"> </t>
    </r>
    <r>
      <rPr>
        <b/>
        <sz val="12"/>
        <color theme="1"/>
        <rFont val="Calibri"/>
        <family val="2"/>
        <scheme val="minor"/>
      </rPr>
      <t xml:space="preserve"> Input is required to calculate recoveries for the 2025 CWELCC One-Time Emergency Funding (OTEF) – Operating Grant. Revenue and expenses are prepopulated in tab A6, with recoveries calculated in tab A7. Grant amounts to be entered in GovGrants are displayed on tab A8, also  the Summary of Reconciliations in tab 9A will be updated. </t>
    </r>
  </si>
  <si>
    <r>
      <rPr>
        <b/>
        <sz val="16"/>
        <color theme="4" tint="-0.249977111117893"/>
        <rFont val="Calibri"/>
        <family val="2"/>
        <scheme val="minor"/>
      </rPr>
      <t>2025 Program Staff Top-up Funding:</t>
    </r>
    <r>
      <rPr>
        <b/>
        <sz val="16"/>
        <color theme="1"/>
        <rFont val="Calibri"/>
        <family val="2"/>
        <scheme val="minor"/>
      </rPr>
      <t xml:space="preserve"> </t>
    </r>
    <r>
      <rPr>
        <b/>
        <sz val="12"/>
        <color theme="1"/>
        <rFont val="Calibri"/>
        <family val="2"/>
        <scheme val="minor"/>
      </rPr>
      <t xml:space="preserve"> Input is required to separate the 2025 Program Staff Top-up portion from total salary expenses for age groups 0–6 years and 6–12 years in tab A6. The grant is added to the revenue section in tab A6, and related expenses entered under the 0–6 years column will be deducted from CWELCC-eligible expenses. All entries will automatically update the Summary of Reconciliations in tab A9.</t>
    </r>
  </si>
  <si>
    <r>
      <rPr>
        <b/>
        <sz val="16"/>
        <color theme="4" tint="-0.249977111117893"/>
        <rFont val="Calibri"/>
        <family val="2"/>
        <scheme val="minor"/>
      </rPr>
      <t>2025 Expansion funding (Start up projects)</t>
    </r>
    <r>
      <rPr>
        <b/>
        <sz val="16"/>
        <color theme="1"/>
        <rFont val="Calibri"/>
        <family val="2"/>
        <scheme val="minor"/>
      </rPr>
      <t xml:space="preserve"> </t>
    </r>
    <r>
      <rPr>
        <b/>
        <sz val="12"/>
        <color theme="1"/>
        <rFont val="Calibri"/>
        <family val="2"/>
        <scheme val="minor"/>
      </rPr>
      <t>: Input required to  align to updated accounting policy and amounts entered also update the Summary of Reconciliations on tab 9.</t>
    </r>
  </si>
  <si>
    <r>
      <rPr>
        <b/>
        <sz val="16"/>
        <color theme="4" tint="-0.249977111117893"/>
        <rFont val="Calibri"/>
        <family val="2"/>
        <scheme val="minor"/>
      </rPr>
      <t>2025 School Age (6-12):</t>
    </r>
    <r>
      <rPr>
        <b/>
        <sz val="16"/>
        <color theme="1"/>
        <rFont val="Calibri"/>
        <family val="2"/>
        <scheme val="minor"/>
      </rPr>
      <t xml:space="preserve">  </t>
    </r>
    <r>
      <rPr>
        <b/>
        <sz val="12"/>
        <color theme="1"/>
        <rFont val="Calibri"/>
        <family val="2"/>
        <scheme val="minor"/>
      </rPr>
      <t>Input required to populate the revenue section for A6 and Summary of Reconciliations on tab 9.</t>
    </r>
  </si>
  <si>
    <t>DEFERRED CONTRIBUTION FROM PEEL - OTEF Major Capital</t>
  </si>
  <si>
    <t>DEFERRED CONTRIBUTION FROM PEEL - Expansion funding</t>
  </si>
  <si>
    <r>
      <rPr>
        <b/>
        <sz val="16"/>
        <color theme="4" tint="-0.249977111117893"/>
        <rFont val="Calibri"/>
        <family val="2"/>
        <scheme val="minor"/>
      </rPr>
      <t>2025 CWELCC One Time Emergency Funding (OTEF) - Major Capital:</t>
    </r>
    <r>
      <rPr>
        <b/>
        <sz val="12"/>
        <color theme="4" tint="-0.249977111117893"/>
        <rFont val="Calibri"/>
        <family val="2"/>
        <scheme val="minor"/>
      </rPr>
      <t xml:space="preserve">  </t>
    </r>
    <r>
      <rPr>
        <b/>
        <sz val="12"/>
        <color theme="1"/>
        <rFont val="Calibri"/>
        <family val="2"/>
        <scheme val="minor"/>
      </rPr>
      <t>Input required to calculate recoveries of OTEF.  OTEF Major Capital section deferred contribution is prepopulated on tab A5 and GovGrants input is tab A8. The amounts entered also update the Summary of Reconciliations on tab A9.</t>
    </r>
  </si>
  <si>
    <t>Deferred Contribution</t>
  </si>
  <si>
    <t xml:space="preserve">No input required, 
unless funding received from Peel is missing from the prepopulated list. </t>
  </si>
  <si>
    <t xml:space="preserve"> </t>
  </si>
  <si>
    <t xml:space="preserve">What type of building do you operate in? </t>
  </si>
  <si>
    <t xml:space="preserve">   2025 Base Fee Revenue Collected from Parents </t>
  </si>
  <si>
    <t>Actual Program Staffing, Workforce Compensation</t>
  </si>
  <si>
    <t>Actual Supervisor, Workforce Compensation</t>
  </si>
  <si>
    <t>Actual Controlling Owner/Directors or trustees Salaries &amp; Benefits (excluding management fee)</t>
  </si>
  <si>
    <t>Actual Controlling Owner/Directors or trustees bonuses (excluding management fee)</t>
  </si>
  <si>
    <t>5. General Admin Expense Ratio</t>
  </si>
  <si>
    <t>Total General Admin/Total Expense</t>
  </si>
  <si>
    <t xml:space="preserve">Review this tab. 
</t>
  </si>
  <si>
    <t>Report any funding not prepopulated</t>
  </si>
  <si>
    <t>411s</t>
  </si>
  <si>
    <t>411t</t>
  </si>
  <si>
    <t>411u</t>
  </si>
  <si>
    <t>411v</t>
  </si>
  <si>
    <t>Actual Supervisor, Other Costs  - please specify</t>
  </si>
  <si>
    <t>Actual Program Staffing, Other Costs - please specify</t>
  </si>
  <si>
    <t>Enter information related to your Statement of Operations in green highlighted cells</t>
  </si>
  <si>
    <t>451r</t>
  </si>
  <si>
    <t>451q</t>
  </si>
  <si>
    <t>Important Note: Complete tabs 1 to 6 in order. Tabs 7 to 12 for review.</t>
  </si>
  <si>
    <t xml:space="preserve">   Other Regional Grants  - please specify </t>
  </si>
  <si>
    <t xml:space="preserve">   Other Revenue  - please specify  </t>
  </si>
  <si>
    <t xml:space="preserve">Total Eligible Program Cost with OTEF adjustment </t>
  </si>
  <si>
    <t>Program Cost Allocation used for OTEF eligible costs</t>
  </si>
  <si>
    <t>300i</t>
  </si>
  <si>
    <t>300j</t>
  </si>
  <si>
    <t>465a</t>
  </si>
  <si>
    <t xml:space="preserve">Funds Received </t>
  </si>
  <si>
    <t>Deferred Contribution for OTEF</t>
  </si>
  <si>
    <t xml:space="preserve">
Average number of paid sick days and paid vacation days that program staffing were entitled to in the reporting year as per their employment contracts</t>
  </si>
  <si>
    <t>OTEF Operating Reconciliation with Program Cost Funding adjustment details</t>
  </si>
  <si>
    <t>Input funds received from your expansion announcement.  This is not the reconciliation for this funding. If project is not completed, input the funding used as of Dec 31, 2025.</t>
  </si>
  <si>
    <t>WCF (0-6) KPIs</t>
  </si>
  <si>
    <t>Data Element Required</t>
  </si>
  <si>
    <t>Wage Stability (0-6) KPIs</t>
  </si>
  <si>
    <t>Total amount spent keeping wages the same ($)</t>
  </si>
  <si>
    <t>Paid Planning Time (0-6) KPIs</t>
  </si>
  <si>
    <t>Paid Planning Time Actual Expenditures ($)</t>
  </si>
  <si>
    <t>Count of total individuals supported using funded planning time</t>
  </si>
  <si>
    <t>Number of individuals who were supported using funded planning time. Each individual is counted once.</t>
  </si>
  <si>
    <t>Professional Learning Cost (0-6) KPIs</t>
  </si>
  <si>
    <t>Actual professional learning costs expenditures</t>
  </si>
  <si>
    <t>You must report your professional learning costs actual expenditures.</t>
  </si>
  <si>
    <t>Count of total individuals supported under professional learning funding</t>
  </si>
  <si>
    <t>For professional learning costs, you must report the number of individuals whose professional learning cost were supported using the funding. Each individual is counted once.</t>
  </si>
  <si>
    <t>WEG (0-6) KPIs</t>
  </si>
  <si>
    <r>
      <t>Definition: </t>
    </r>
    <r>
      <rPr>
        <sz val="11"/>
        <color rgb="FF000000"/>
        <rFont val="Calibri"/>
        <family val="2"/>
      </rPr>
      <t> </t>
    </r>
  </si>
  <si>
    <r>
      <t>Materiality</t>
    </r>
    <r>
      <rPr>
        <b/>
        <i/>
        <sz val="10.199999999999999"/>
        <color theme="1"/>
        <rFont val="Arial Nova"/>
        <family val="2"/>
      </rPr>
      <t xml:space="preserve"> (calculated)</t>
    </r>
  </si>
  <si>
    <t>For Calander Year Jan 1 to Dec 31, 2025.</t>
  </si>
  <si>
    <t>Refer to tab A3.  Peel Region Grants</t>
  </si>
  <si>
    <t>Actual Program Staffing, General Operating Fund (GOF)</t>
  </si>
  <si>
    <t>411b(i)</t>
  </si>
  <si>
    <t>411i(i)</t>
  </si>
  <si>
    <t>Actual Supervisor, General Operating Fund (GOF)</t>
  </si>
  <si>
    <t>Actual Program Staffing, Wage Enhancement Grant (WEG)</t>
  </si>
  <si>
    <t>Actual Supervisor, Wage Enhancement Grant (WEG)</t>
  </si>
  <si>
    <t>Less:  Amortization for Capital Assets (Ineligible for Cost-Based Funding)</t>
  </si>
  <si>
    <t>Less:  Income tax 0-6</t>
  </si>
  <si>
    <t>Less:  Non-Base Expenses for 0-6 Families</t>
  </si>
  <si>
    <t>Less:  Ineligible expenses for 0-6 Families</t>
  </si>
  <si>
    <t>Less:  Life Long Learning Day October 0-6</t>
  </si>
  <si>
    <t>Less:  2025 Program Staff Top-up Funding 0-6</t>
  </si>
  <si>
    <t>300k</t>
  </si>
  <si>
    <t>300l</t>
  </si>
  <si>
    <t>Do you have any transactions that are to a related party?</t>
  </si>
  <si>
    <t>For row 13, if other selected provide comment.  
For row 14, if you had a related party transaction, which expense line is it included on?
For row 15, if normal operations was NOT selected provide comment.</t>
  </si>
  <si>
    <r>
      <rPr>
        <b/>
        <i/>
        <sz val="14"/>
        <color theme="1"/>
        <rFont val="Calibri"/>
        <family val="2"/>
      </rPr>
      <t xml:space="preserve">Instructions: </t>
    </r>
    <r>
      <rPr>
        <i/>
        <sz val="14"/>
        <color theme="1"/>
        <rFont val="Calibri"/>
        <family val="2"/>
      </rPr>
      <t xml:space="preserve">Fill out areas highlighted in green with the information being requested in the Data Element Required column. Please only enter information for </t>
    </r>
    <r>
      <rPr>
        <b/>
        <i/>
        <u/>
        <sz val="14"/>
        <color theme="1"/>
        <rFont val="Calibri"/>
        <family val="2"/>
      </rPr>
      <t>eligible children aged 0-6 only</t>
    </r>
  </si>
  <si>
    <t>Count of RECE Program Staff supported by WCF Wage Floor &amp; Wage Increase</t>
  </si>
  <si>
    <t>Total number of RECE program staff serving CWELCC eligible children supported by the WCF wage floor and WCF wage increase</t>
  </si>
  <si>
    <t>Count of RECE Supervisors supported by WCF Wage Floor &amp; Wage Increase</t>
  </si>
  <si>
    <t>Total number of RECE supervisors serving CWELCC eligible children supported by the WCF wage floor and WCF wage increase</t>
  </si>
  <si>
    <t>Count of total Program Staff and Supervisors whose wages were held constants</t>
  </si>
  <si>
    <t>Count of fully &amp; partially eligible staff FTE's eligible for WEG suporting CWELCC children</t>
  </si>
  <si>
    <t>Number of fully &amp; partially eligible staff FTE’s eligible for WEG wage enhancements ($2 an hour). supporting CWELCC eligible children. One FTE is equivalent to 1,754.5 hours for the year</t>
  </si>
  <si>
    <t>KPI1</t>
  </si>
  <si>
    <t>KPI2</t>
  </si>
  <si>
    <t>KPI3</t>
  </si>
  <si>
    <t>KPI4</t>
  </si>
  <si>
    <t>KPI5</t>
  </si>
  <si>
    <t>KPI6</t>
  </si>
  <si>
    <t>KPI7</t>
  </si>
  <si>
    <t>KPI8</t>
  </si>
  <si>
    <t>KPI9</t>
  </si>
  <si>
    <t>KPI10</t>
  </si>
  <si>
    <t>KPI11</t>
  </si>
  <si>
    <t>KPI12</t>
  </si>
  <si>
    <t>KPI13</t>
  </si>
  <si>
    <t>KPI14</t>
  </si>
  <si>
    <t>2025 KEY PERFORMANCE INDICATORS (KPIs)</t>
  </si>
  <si>
    <t>A4. KPIS</t>
  </si>
  <si>
    <t>Mortgage principal paid for the year on child care facilities in Peel.</t>
  </si>
  <si>
    <t>Less:  Professional Dues</t>
  </si>
  <si>
    <r>
      <t>Definition: </t>
    </r>
    <r>
      <rPr>
        <b/>
        <sz val="11"/>
        <color rgb="FF000000"/>
        <rFont val="Aptos"/>
        <family val="2"/>
      </rPr>
      <t> </t>
    </r>
  </si>
  <si>
    <t>Less:  Actual Controlling Owner/Directors or trustees bonuses</t>
  </si>
  <si>
    <t xml:space="preserve">For definitions, please refer to the FAIR guideline. </t>
  </si>
  <si>
    <t>A9.Summary of Reconciliation – Peel Region</t>
  </si>
  <si>
    <t>Providers must report the funds received, funds spent, amounts repayable to Peel, and deferred revenue for all Peel Region grants not listed in tab 3A. Grants listed in tab A3 are linked directly to tab A9. All reported amounts must align with the note disclosures in the audited financial statements, in accordance with ACCOUNTING AND NOTE DISCLOSURE GUIDELINE FOR ACCOUNTANTS / AUDITORS</t>
  </si>
  <si>
    <r>
      <t xml:space="preserve">Total Actual Cost of Project </t>
    </r>
    <r>
      <rPr>
        <b/>
        <sz val="10"/>
        <color theme="1"/>
        <rFont val="Calibri"/>
        <family val="2"/>
        <scheme val="minor"/>
      </rPr>
      <t>(net of insurance and landlord)</t>
    </r>
  </si>
  <si>
    <r>
      <t xml:space="preserve">Total Project Cost  </t>
    </r>
    <r>
      <rPr>
        <b/>
        <sz val="10"/>
        <color theme="1"/>
        <rFont val="Calibri"/>
        <family val="2"/>
        <scheme val="minor"/>
      </rPr>
      <t>(net of insurance and landlord)</t>
    </r>
  </si>
  <si>
    <t>Provides guidance on locating the definition codes.</t>
  </si>
  <si>
    <t>HIDE</t>
  </si>
  <si>
    <t xml:space="preserve">Other - Please Specify </t>
  </si>
  <si>
    <t>Input any funding not listed in the other line. This information should match your note disclosure (new requirement see AUDITED FINANCIAL STATEMENTS GUIDELINE FOR ACCOUNTANTS/AUDITORS) for funding received, funds spent, repayable to Peel and deferred in your Audited Financial Statements</t>
  </si>
  <si>
    <t>Total 0-6 Years Expense from tab A6. Operations</t>
  </si>
  <si>
    <t>Actual Program Staffing, Employer Statutory Obligations</t>
  </si>
  <si>
    <t>Actual Supervisor, Employer Statutory Obligations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</si>
</sst>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8" formatCode="&quot;$&quot;#,##0.00;[Red]\-&quot;$&quot;#,##0.00"/>
    <numFmt numFmtId="44" formatCode="_-&quot;$&quot;* #,##0.00_-;\-&quot;$&quot;* #,##0.00_-;_-&quot;$&quot;* &quot;-&quot;??_-;_-@_-"/>
    <numFmt numFmtId="43" formatCode="_-* #,##0.00_-;\-* #,##0.00_-;_-* &quot;-&quot;??_-;_-@_-"/>
    <numFmt numFmtId="164" formatCode="&quot;$&quot;#,##0;[Red]\(&quot;$&quot;#,##0\)"/>
    <numFmt numFmtId="165" formatCode="_(* #,##0_);_(* \(#,##0\);_(* &quot;-&quot;??_);_(@_)"/>
    <numFmt numFmtId="166" formatCode="#\ ???/???"/>
    <numFmt numFmtId="167" formatCode="&quot;$&quot;#,##0.00"/>
    <numFmt numFmtId="168" formatCode="_-&quot;$&quot;* #,##0_-;\-&quot;$&quot;* #,##0_-;_-&quot;$&quot;* &quot;-&quot;??_-;_-@_-"/>
    <numFmt numFmtId="169" formatCode="[$-1009]mmmm\ d\,\ yyyy;@"/>
    <numFmt numFmtId="170" formatCode="&quot;$&quot;#,##0.00;[Red]&quot;$&quot;#,##0.00"/>
    <numFmt numFmtId="171" formatCode="&quot;$&quot;#,##0.0;[Red]&quot;$&quot;#,##0.0"/>
    <numFmt numFmtId="172" formatCode="0.0%"/>
    <numFmt numFmtId="173" formatCode="#,##0.00;[Red]#,##0.00"/>
    <numFmt numFmtId="174" formatCode="0.0"/>
    <numFmt numFmtId="175" formatCode="&quot;$&quot;#,##0.00;[Red]\(&quot;$&quot;#,##0.00\)"/>
    <numFmt numFmtId="176" formatCode="[$-F800]dddd\,\ mmmm\ dd\,\ yyyy"/>
    <numFmt numFmtId="177" formatCode="[&lt;=9999999]###\-####;###\-###\-####"/>
    <numFmt numFmtId="178" formatCode="yyyy/mm/dd;@"/>
    <numFmt numFmtId="179" formatCode="_-* #,##0.0000_-;\-* #,##0.0000_-;_-* &quot;-&quot;??_-;_-@_-"/>
    <numFmt numFmtId="180" formatCode="0.0000%"/>
    <numFmt numFmtId="181" formatCode="&quot;$&quot;#,##0;[Red]&quot;$&quot;#,##0"/>
  </numFmts>
  <fonts count="133">
    <font>
      <sz val="11"/>
      <color theme="1"/>
      <name val="Calibri"/>
      <family val="2"/>
      <scheme val="minor"/>
    </font>
    <font>
      <sz val="12"/>
      <color theme="1"/>
      <name val="Arial Nova"/>
      <family val="2"/>
    </font>
    <font>
      <b/>
      <sz val="12"/>
      <color theme="1"/>
      <name val="Arial Nova"/>
      <family val="2"/>
    </font>
    <font>
      <sz val="11"/>
      <color theme="1"/>
      <name val="Calibri"/>
      <family val="2"/>
      <scheme val="minor"/>
    </font>
    <font>
      <sz val="12"/>
      <name val="Arial Nova"/>
      <family val="2"/>
    </font>
    <font>
      <sz val="8"/>
      <name val="Calibri"/>
      <family val="2"/>
      <scheme val="minor"/>
    </font>
    <font>
      <sz val="11"/>
      <color indexed="81"/>
      <name val="Tahoma"/>
      <family val="2"/>
    </font>
    <font>
      <sz val="11"/>
      <color rgb="FF3F3F76"/>
      <name val="Calibri"/>
      <family val="2"/>
      <scheme val="minor"/>
    </font>
    <font>
      <b/>
      <sz val="11"/>
      <color rgb="FF3F3F3F"/>
      <name val="Calibri"/>
      <family val="2"/>
      <scheme val="minor"/>
    </font>
    <font>
      <i/>
      <sz val="11"/>
      <color rgb="FF7F7F7F"/>
      <name val="Calibri"/>
      <family val="2"/>
      <scheme val="minor"/>
    </font>
    <font>
      <u/>
      <sz val="11"/>
      <color theme="10"/>
      <name val="Calibri"/>
      <family val="2"/>
      <scheme val="minor"/>
    </font>
    <font>
      <sz val="12"/>
      <color theme="1"/>
      <name val="Calibri"/>
      <family val="2"/>
      <scheme val="minor"/>
    </font>
    <font>
      <sz val="11"/>
      <name val="Calibri"/>
      <family val="2"/>
      <scheme val="minor"/>
    </font>
    <font>
      <sz val="10"/>
      <color rgb="FF3F3F76"/>
      <name val="Arial Nova"/>
      <family val="2"/>
    </font>
    <font>
      <b/>
      <sz val="10"/>
      <color rgb="FF3F3F3F"/>
      <name val="Arial Nova"/>
      <family val="2"/>
    </font>
    <font>
      <i/>
      <sz val="10"/>
      <color rgb="FF7F7F7F"/>
      <name val="Arial Nova"/>
      <family val="2"/>
    </font>
    <font>
      <sz val="11"/>
      <color theme="1"/>
      <name val="Aptos"/>
      <family val="2"/>
    </font>
    <font>
      <b/>
      <sz val="11"/>
      <color indexed="81"/>
      <name val="Tahoma"/>
      <family val="2"/>
    </font>
    <font>
      <b/>
      <sz val="11"/>
      <color theme="1"/>
      <name val="Calibri"/>
      <family val="2"/>
      <scheme val="minor"/>
    </font>
    <font>
      <sz val="11"/>
      <color theme="0"/>
      <name val="Calibri"/>
      <family val="2"/>
      <scheme val="minor"/>
    </font>
    <font>
      <b/>
      <sz val="18"/>
      <color theme="3"/>
      <name val="Calibri Light"/>
      <family val="2"/>
      <scheme val="major"/>
    </font>
    <font>
      <sz val="10"/>
      <name val="Arial"/>
      <family val="2"/>
    </font>
    <font>
      <b/>
      <u/>
      <sz val="11"/>
      <color theme="1"/>
      <name val="Calibri"/>
      <family val="2"/>
      <scheme val="minor"/>
    </font>
    <font>
      <i/>
      <sz val="11"/>
      <color theme="1"/>
      <name val="Calibri"/>
      <family val="2"/>
      <scheme val="minor"/>
    </font>
    <font>
      <b/>
      <sz val="11"/>
      <color rgb="FFFF0000"/>
      <name val="Calibri"/>
      <family val="2"/>
      <scheme val="minor"/>
    </font>
    <font>
      <b/>
      <sz val="12"/>
      <color theme="1"/>
      <name val="Calibri"/>
      <family val="2"/>
      <scheme val="minor"/>
    </font>
    <font>
      <b/>
      <sz val="14"/>
      <color rgb="FF000000"/>
      <name val="Aptos Narrow"/>
      <family val="2"/>
    </font>
    <font>
      <b/>
      <sz val="11"/>
      <color rgb="FF000000"/>
      <name val="Calibri"/>
      <family val="2"/>
      <scheme val="minor"/>
    </font>
    <font>
      <b/>
      <sz val="12"/>
      <color rgb="FFFF0000"/>
      <name val="Calibri"/>
      <family val="2"/>
      <scheme val="minor"/>
    </font>
    <font>
      <sz val="12"/>
      <name val="Calibri"/>
      <family val="2"/>
      <scheme val="minor"/>
    </font>
    <font>
      <sz val="12"/>
      <color rgb="FFFF0000"/>
      <name val="Calibri"/>
      <family val="2"/>
      <scheme val="minor"/>
    </font>
    <font>
      <sz val="12"/>
      <color theme="0"/>
      <name val="Calibri"/>
      <family val="2"/>
      <scheme val="minor"/>
    </font>
    <font>
      <b/>
      <sz val="14"/>
      <color theme="0"/>
      <name val="Calibri"/>
      <family val="2"/>
      <scheme val="minor"/>
    </font>
    <font>
      <b/>
      <sz val="12"/>
      <name val="Calibri"/>
      <family val="2"/>
      <scheme val="minor"/>
    </font>
    <font>
      <b/>
      <i/>
      <sz val="12"/>
      <name val="Calibri"/>
      <family val="2"/>
      <scheme val="minor"/>
    </font>
    <font>
      <sz val="10"/>
      <name val="Calibri"/>
      <family val="2"/>
      <scheme val="minor"/>
    </font>
    <font>
      <i/>
      <sz val="12"/>
      <name val="Calibri"/>
      <family val="2"/>
      <scheme val="minor"/>
    </font>
    <font>
      <i/>
      <sz val="12"/>
      <color theme="1"/>
      <name val="Calibri"/>
      <family val="2"/>
      <scheme val="minor"/>
    </font>
    <font>
      <b/>
      <sz val="14"/>
      <color theme="4" tint="-0.249977111117893"/>
      <name val="Calibri"/>
      <family val="2"/>
      <scheme val="minor"/>
    </font>
    <font>
      <b/>
      <sz val="14"/>
      <color theme="1"/>
      <name val="Calibri"/>
      <family val="2"/>
      <scheme val="minor"/>
    </font>
    <font>
      <b/>
      <sz val="18"/>
      <color theme="1"/>
      <name val="Calibri"/>
      <family val="2"/>
      <scheme val="minor"/>
    </font>
    <font>
      <i/>
      <sz val="11"/>
      <color theme="0"/>
      <name val="Calibri"/>
      <family val="2"/>
      <scheme val="minor"/>
    </font>
    <font>
      <i/>
      <sz val="11"/>
      <name val="Calibri"/>
      <family val="2"/>
      <scheme val="minor"/>
    </font>
    <font>
      <b/>
      <sz val="8"/>
      <name val="Calibri"/>
      <family val="2"/>
      <scheme val="minor"/>
    </font>
    <font>
      <b/>
      <sz val="12"/>
      <color theme="0"/>
      <name val="Calibri"/>
      <family val="2"/>
      <scheme val="minor"/>
    </font>
    <font>
      <b/>
      <sz val="16"/>
      <color theme="0"/>
      <name val="Calibri"/>
      <family val="2"/>
      <scheme val="minor"/>
    </font>
    <font>
      <b/>
      <sz val="16"/>
      <color rgb="FFFF0000"/>
      <name val="Calibri"/>
      <family val="2"/>
      <scheme val="minor"/>
    </font>
    <font>
      <b/>
      <sz val="16"/>
      <color theme="4" tint="-0.249977111117893"/>
      <name val="Calibri"/>
      <family val="2"/>
      <scheme val="minor"/>
    </font>
    <font>
      <b/>
      <sz val="18"/>
      <color theme="0"/>
      <name val="Calibri"/>
      <family val="2"/>
      <scheme val="minor"/>
    </font>
    <font>
      <sz val="18"/>
      <color theme="1"/>
      <name val="Calibri"/>
      <family val="2"/>
      <scheme val="minor"/>
    </font>
    <font>
      <b/>
      <sz val="10"/>
      <name val="Arial"/>
      <family val="2"/>
    </font>
    <font>
      <b/>
      <sz val="18"/>
      <name val="Arial"/>
      <family val="2"/>
    </font>
    <font>
      <b/>
      <sz val="14"/>
      <color theme="3"/>
      <name val="Calibri Light"/>
      <family val="2"/>
      <scheme val="major"/>
    </font>
    <font>
      <sz val="14"/>
      <color theme="1"/>
      <name val="Calibri"/>
      <family val="2"/>
      <scheme val="minor"/>
    </font>
    <font>
      <sz val="10"/>
      <color theme="1"/>
      <name val="Arial"/>
      <family val="2"/>
    </font>
    <font>
      <sz val="10"/>
      <color theme="1"/>
      <name val="Calibri"/>
      <family val="2"/>
      <scheme val="minor"/>
    </font>
    <font>
      <b/>
      <sz val="12"/>
      <color theme="1"/>
      <name val="Arial"/>
      <family val="2"/>
    </font>
    <font>
      <b/>
      <i/>
      <sz val="12"/>
      <color theme="1"/>
      <name val="Calibri"/>
      <family val="2"/>
      <scheme val="minor"/>
    </font>
    <font>
      <b/>
      <sz val="16"/>
      <color theme="1"/>
      <name val="Calibri"/>
      <family val="2"/>
      <scheme val="minor"/>
    </font>
    <font>
      <b/>
      <sz val="11"/>
      <name val="Calibri"/>
      <family val="2"/>
      <scheme val="minor"/>
    </font>
    <font>
      <b/>
      <sz val="11"/>
      <color rgb="FFFFFFFF"/>
      <name val="Calibri"/>
      <family val="2"/>
      <scheme val="minor"/>
    </font>
    <font>
      <b/>
      <i/>
      <sz val="12"/>
      <color theme="0"/>
      <name val="Calibri"/>
      <family val="2"/>
      <scheme val="minor"/>
    </font>
    <font>
      <b/>
      <sz val="7"/>
      <color rgb="FF333333"/>
      <name val="Helvetica"/>
    </font>
    <font>
      <b/>
      <sz val="7"/>
      <color rgb="FF000000"/>
      <name val="Helvetica"/>
    </font>
    <font>
      <sz val="7"/>
      <color rgb="FF333333"/>
      <name val="Helvetica"/>
    </font>
    <font>
      <sz val="9"/>
      <color rgb="FF00CC66"/>
      <name val="FontAwesome"/>
    </font>
    <font>
      <b/>
      <sz val="24"/>
      <color rgb="FF333333"/>
      <name val="Helvetica"/>
    </font>
    <font>
      <sz val="24"/>
      <color rgb="FF333333"/>
      <name val="Helvetica"/>
    </font>
    <font>
      <b/>
      <sz val="12"/>
      <color rgb="FF000000"/>
      <name val="Calibri"/>
      <family val="2"/>
      <scheme val="minor"/>
    </font>
    <font>
      <sz val="12"/>
      <color rgb="FF000000"/>
      <name val="Calibri"/>
      <family val="2"/>
      <scheme val="minor"/>
    </font>
    <font>
      <b/>
      <u/>
      <sz val="12"/>
      <color rgb="FF000000"/>
      <name val="Calibri"/>
      <family val="2"/>
      <scheme val="minor"/>
    </font>
    <font>
      <u/>
      <sz val="12"/>
      <color rgb="FF000000"/>
      <name val="Calibri"/>
      <family val="2"/>
      <scheme val="minor"/>
    </font>
    <font>
      <sz val="11"/>
      <color rgb="FF000000"/>
      <name val="Aptos"/>
      <family val="2"/>
    </font>
    <font>
      <b/>
      <sz val="18"/>
      <name val="Calibri"/>
      <family val="2"/>
      <scheme val="minor"/>
    </font>
    <font>
      <b/>
      <sz val="14"/>
      <name val="Calibri"/>
      <family val="2"/>
      <scheme val="minor"/>
    </font>
    <font>
      <b/>
      <sz val="14"/>
      <color rgb="FFFF0000"/>
      <name val="Calibri"/>
      <family val="2"/>
      <scheme val="minor"/>
    </font>
    <font>
      <b/>
      <i/>
      <sz val="12"/>
      <color rgb="FFFF0000"/>
      <name val="Calibri"/>
      <family val="2"/>
      <scheme val="minor"/>
    </font>
    <font>
      <b/>
      <sz val="16"/>
      <name val="Arial Nova"/>
      <family val="2"/>
    </font>
    <font>
      <sz val="12"/>
      <color rgb="FFFF0000"/>
      <name val="Arial Nova"/>
      <family val="2"/>
    </font>
    <font>
      <u val="singleAccounting"/>
      <sz val="12"/>
      <color rgb="FFFF0000"/>
      <name val="Calibri"/>
      <family val="2"/>
      <scheme val="minor"/>
    </font>
    <font>
      <b/>
      <sz val="12"/>
      <color rgb="FFFFFFFF"/>
      <name val="Calibri"/>
      <family val="2"/>
      <scheme val="minor"/>
    </font>
    <font>
      <b/>
      <sz val="9"/>
      <color indexed="81"/>
      <name val="Tahoma"/>
      <family val="2"/>
    </font>
    <font>
      <b/>
      <sz val="18"/>
      <color theme="0"/>
      <name val="Arial Nova"/>
      <family val="2"/>
    </font>
    <font>
      <b/>
      <sz val="14"/>
      <color theme="1"/>
      <name val="Arial Nova"/>
      <family val="2"/>
    </font>
    <font>
      <b/>
      <sz val="16"/>
      <color theme="1"/>
      <name val="Arial Nova"/>
      <family val="2"/>
    </font>
    <font>
      <b/>
      <i/>
      <sz val="12"/>
      <color theme="9" tint="-0.249977111117893"/>
      <name val="Arial Nova"/>
      <family val="2"/>
    </font>
    <font>
      <b/>
      <u/>
      <sz val="14"/>
      <color theme="1"/>
      <name val="Arial Nova"/>
      <family val="2"/>
    </font>
    <font>
      <i/>
      <sz val="10.199999999999999"/>
      <color theme="1"/>
      <name val="Arial Nova"/>
      <family val="2"/>
    </font>
    <font>
      <b/>
      <i/>
      <sz val="12"/>
      <color theme="0"/>
      <name val="Arial Nova"/>
      <family val="2"/>
    </font>
    <font>
      <b/>
      <sz val="12"/>
      <color theme="8"/>
      <name val="Arial Nova"/>
      <family val="2"/>
    </font>
    <font>
      <i/>
      <sz val="10.199999999999999"/>
      <name val="Arial Nova"/>
      <family val="2"/>
    </font>
    <font>
      <b/>
      <i/>
      <sz val="12"/>
      <color theme="1"/>
      <name val="Arial Nova"/>
      <family val="2"/>
    </font>
    <font>
      <b/>
      <i/>
      <sz val="12"/>
      <name val="Arial Nova"/>
      <family val="2"/>
    </font>
    <font>
      <sz val="10"/>
      <color theme="1"/>
      <name val="Arial Nova"/>
      <family val="2"/>
    </font>
    <font>
      <b/>
      <sz val="12"/>
      <name val="Arial Nova"/>
      <family val="2"/>
    </font>
    <font>
      <b/>
      <i/>
      <sz val="12"/>
      <color rgb="FFC00000"/>
      <name val="Arial Nova"/>
      <family val="2"/>
    </font>
    <font>
      <i/>
      <sz val="12"/>
      <name val="Arial Nova"/>
      <family val="2"/>
    </font>
    <font>
      <b/>
      <sz val="12"/>
      <color rgb="FFC00000"/>
      <name val="Arial Nova"/>
      <family val="2"/>
    </font>
    <font>
      <b/>
      <i/>
      <sz val="12"/>
      <color theme="4"/>
      <name val="Arial Nova"/>
      <family val="2"/>
    </font>
    <font>
      <b/>
      <u/>
      <sz val="12"/>
      <color theme="1"/>
      <name val="Arial Nova"/>
      <family val="2"/>
    </font>
    <font>
      <u/>
      <sz val="12"/>
      <color theme="1"/>
      <name val="Arial Nova"/>
      <family val="2"/>
    </font>
    <font>
      <b/>
      <i/>
      <sz val="12"/>
      <color rgb="FF0000FF"/>
      <name val="Arial Nova"/>
      <family val="2"/>
    </font>
    <font>
      <b/>
      <sz val="12"/>
      <color theme="4"/>
      <name val="Arial Nova"/>
      <family val="2"/>
    </font>
    <font>
      <b/>
      <sz val="12"/>
      <color rgb="FFFF0000"/>
      <name val="Arial Nova"/>
      <family val="2"/>
    </font>
    <font>
      <b/>
      <sz val="10"/>
      <color rgb="FFC00000"/>
      <name val="Arial Nova"/>
      <family val="2"/>
    </font>
    <font>
      <b/>
      <u/>
      <sz val="12"/>
      <name val="Arial Nova"/>
      <family val="2"/>
    </font>
    <font>
      <b/>
      <sz val="12"/>
      <color rgb="FF0000FF"/>
      <name val="Arial Nova"/>
      <family val="2"/>
    </font>
    <font>
      <sz val="10"/>
      <name val="Arial Nova"/>
      <family val="2"/>
    </font>
    <font>
      <b/>
      <sz val="11"/>
      <color theme="0"/>
      <name val="Calibri"/>
      <family val="2"/>
      <scheme val="minor"/>
    </font>
    <font>
      <b/>
      <i/>
      <sz val="11"/>
      <color rgb="FFC00000"/>
      <name val="Calibri"/>
      <family val="2"/>
      <scheme val="minor"/>
    </font>
    <font>
      <b/>
      <sz val="20"/>
      <color rgb="FFFF0000"/>
      <name val="Calibri"/>
      <family val="2"/>
      <scheme val="minor"/>
    </font>
    <font>
      <b/>
      <sz val="20"/>
      <color theme="0"/>
      <name val="Calibri"/>
      <family val="2"/>
      <scheme val="minor"/>
    </font>
    <font>
      <b/>
      <u/>
      <sz val="12"/>
      <color theme="1"/>
      <name val="Calibri"/>
      <family val="2"/>
      <scheme val="minor"/>
    </font>
    <font>
      <b/>
      <i/>
      <sz val="12"/>
      <color theme="4" tint="-0.249977111117893"/>
      <name val="Calibri"/>
      <family val="2"/>
      <scheme val="minor"/>
    </font>
    <font>
      <i/>
      <sz val="12"/>
      <color theme="4" tint="-0.249977111117893"/>
      <name val="Calibri"/>
      <family val="2"/>
      <scheme val="minor"/>
    </font>
    <font>
      <b/>
      <i/>
      <sz val="16"/>
      <color theme="4" tint="-0.249977111117893"/>
      <name val="Calibri"/>
      <family val="2"/>
      <scheme val="minor"/>
    </font>
    <font>
      <b/>
      <sz val="12"/>
      <color theme="4" tint="-0.249977111117893"/>
      <name val="Calibri"/>
      <family val="2"/>
      <scheme val="minor"/>
    </font>
    <font>
      <sz val="11"/>
      <color rgb="FFFF0000"/>
      <name val="Calibri"/>
      <family val="2"/>
      <scheme val="minor"/>
    </font>
    <font>
      <sz val="11"/>
      <color theme="1"/>
      <name val="Calibri"/>
      <family val="2"/>
    </font>
    <font>
      <i/>
      <sz val="14"/>
      <color theme="1"/>
      <name val="Calibri"/>
      <family val="2"/>
    </font>
    <font>
      <b/>
      <i/>
      <sz val="14"/>
      <color theme="1"/>
      <name val="Calibri"/>
      <family val="2"/>
    </font>
    <font>
      <b/>
      <i/>
      <u/>
      <sz val="14"/>
      <color theme="1"/>
      <name val="Calibri"/>
      <family val="2"/>
    </font>
    <font>
      <b/>
      <sz val="18"/>
      <color theme="0"/>
      <name val="Calibri"/>
      <family val="2"/>
    </font>
    <font>
      <b/>
      <sz val="13"/>
      <color theme="1"/>
      <name val="Calibri"/>
      <family val="2"/>
    </font>
    <font>
      <sz val="11"/>
      <color rgb="FF000000"/>
      <name val="Calibri"/>
      <family val="2"/>
    </font>
    <font>
      <b/>
      <sz val="12"/>
      <color theme="1"/>
      <name val="Calibri"/>
      <family val="2"/>
    </font>
    <font>
      <sz val="12"/>
      <color theme="1"/>
      <name val="Calibri"/>
      <family val="2"/>
    </font>
    <font>
      <b/>
      <i/>
      <sz val="10.199999999999999"/>
      <color theme="1"/>
      <name val="Arial Nova"/>
      <family val="2"/>
    </font>
    <font>
      <sz val="12"/>
      <color theme="0"/>
      <name val="Arial Nova"/>
      <family val="2"/>
    </font>
    <font>
      <sz val="11"/>
      <color rgb="FFFF0000"/>
      <name val="Calibri"/>
      <family val="2"/>
    </font>
    <font>
      <b/>
      <sz val="11"/>
      <color rgb="FF000000"/>
      <name val="Aptos"/>
      <family val="2"/>
    </font>
    <font>
      <sz val="9"/>
      <color indexed="81"/>
      <name val="Tahoma"/>
      <family val="2"/>
    </font>
    <font>
      <b/>
      <sz val="10"/>
      <color theme="1"/>
      <name val="Calibri"/>
      <family val="2"/>
      <scheme val="minor"/>
    </font>
  </fonts>
  <fills count="32">
    <fill>
      <patternFill patternType="none"/>
    </fill>
    <fill>
      <patternFill patternType="gray125"/>
    </fill>
    <fill>
      <patternFill patternType="solid">
        <fgColor theme="9" tint="0.79998168889431442"/>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rgb="FF00B050"/>
        <bgColor indexed="64"/>
      </patternFill>
    </fill>
    <fill>
      <patternFill patternType="solid">
        <fgColor theme="8" tint="-0.499984740745262"/>
        <bgColor indexed="64"/>
      </patternFill>
    </fill>
    <fill>
      <patternFill patternType="solid">
        <fgColor rgb="FF153D63"/>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theme="1"/>
        <bgColor indexed="64"/>
      </patternFill>
    </fill>
    <fill>
      <patternFill patternType="solid">
        <fgColor theme="3"/>
        <bgColor indexed="64"/>
      </patternFill>
    </fill>
    <fill>
      <patternFill patternType="solid">
        <fgColor theme="2"/>
        <bgColor indexed="64"/>
      </patternFill>
    </fill>
    <fill>
      <patternFill patternType="solid">
        <fgColor rgb="FFD6DCE4"/>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305496"/>
        <bgColor indexed="64"/>
      </patternFill>
    </fill>
    <fill>
      <patternFill patternType="solid">
        <fgColor rgb="FFB4C6E7"/>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top/>
      <bottom style="double">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7F7F7F"/>
      </right>
      <top style="thin">
        <color rgb="FF7F7F7F"/>
      </top>
      <bottom style="thin">
        <color rgb="FF7F7F7F"/>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rgb="FF7F7F7F"/>
      </bottom>
      <diagonal/>
    </border>
    <border>
      <left style="thin">
        <color rgb="FF7F7F7F"/>
      </left>
      <right/>
      <top style="thin">
        <color rgb="FF7F7F7F"/>
      </top>
      <bottom style="thin">
        <color rgb="FF7F7F7F"/>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rgb="FF000000"/>
      </left>
      <right style="medium">
        <color rgb="FF000000"/>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thick">
        <color auto="1"/>
      </right>
      <top style="thick">
        <color auto="1"/>
      </top>
      <bottom style="thick">
        <color auto="1"/>
      </bottom>
      <diagonal/>
    </border>
    <border>
      <left/>
      <right style="thick">
        <color indexed="64"/>
      </right>
      <top style="thick">
        <color auto="1"/>
      </top>
      <bottom style="medium">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s>
  <cellStyleXfs count="14">
    <xf numFmtId="0" fontId="0" fillId="0" borderId="0"/>
    <xf numFmtId="9" fontId="3" fillId="0" borderId="0" applyFont="0" applyFill="0" applyBorder="0" applyAlignment="0" applyProtection="0"/>
    <xf numFmtId="0" fontId="7" fillId="6" borderId="4" applyNumberFormat="0" applyAlignment="0" applyProtection="0"/>
    <xf numFmtId="0" fontId="8" fillId="7" borderId="5" applyNumberFormat="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1" fillId="0" borderId="0"/>
    <xf numFmtId="44" fontId="3" fillId="0" borderId="0" applyFont="0" applyFill="0" applyBorder="0" applyAlignment="0" applyProtection="0"/>
    <xf numFmtId="44" fontId="3" fillId="0" borderId="0" applyFont="0" applyFill="0" applyBorder="0" applyAlignment="0" applyProtection="0"/>
    <xf numFmtId="0" fontId="13" fillId="6" borderId="4" applyNumberFormat="0" applyAlignment="0" applyProtection="0"/>
    <xf numFmtId="0" fontId="14" fillId="7" borderId="5" applyNumberFormat="0" applyAlignment="0" applyProtection="0"/>
    <xf numFmtId="0" fontId="15" fillId="0" borderId="0" applyNumberFormat="0" applyFill="0" applyBorder="0" applyAlignment="0" applyProtection="0"/>
    <xf numFmtId="0" fontId="20" fillId="0" borderId="0" applyNumberFormat="0" applyFill="0" applyBorder="0" applyAlignment="0" applyProtection="0"/>
    <xf numFmtId="43" fontId="3" fillId="0" borderId="0" applyFont="0" applyFill="0" applyBorder="0" applyAlignment="0" applyProtection="0"/>
  </cellStyleXfs>
  <cellXfs count="1145">
    <xf numFmtId="0" fontId="0" fillId="0" borderId="0" xfId="0"/>
    <xf numFmtId="0" fontId="1" fillId="0" borderId="0" xfId="0" applyFont="1"/>
    <xf numFmtId="0" fontId="1" fillId="0" borderId="0" xfId="0" applyFont="1" applyAlignment="1">
      <alignment horizontal="left"/>
    </xf>
    <xf numFmtId="0" fontId="0" fillId="11" borderId="0" xfId="0" applyFill="1"/>
    <xf numFmtId="0" fontId="23" fillId="11" borderId="0" xfId="0" applyFont="1" applyFill="1"/>
    <xf numFmtId="0" fontId="23" fillId="0" borderId="0" xfId="0" applyFont="1"/>
    <xf numFmtId="0" fontId="18" fillId="11" borderId="0" xfId="0" applyFont="1" applyFill="1"/>
    <xf numFmtId="0" fontId="18" fillId="0" borderId="0" xfId="0" applyFont="1"/>
    <xf numFmtId="0" fontId="0" fillId="0" borderId="0" xfId="0" applyAlignment="1">
      <alignment wrapText="1"/>
    </xf>
    <xf numFmtId="0" fontId="11" fillId="11" borderId="0" xfId="0" applyFont="1" applyFill="1"/>
    <xf numFmtId="170" fontId="11" fillId="11" borderId="0" xfId="0" applyNumberFormat="1" applyFont="1" applyFill="1"/>
    <xf numFmtId="0" fontId="11" fillId="11" borderId="21" xfId="0" applyFont="1" applyFill="1" applyBorder="1"/>
    <xf numFmtId="0" fontId="25" fillId="11" borderId="0" xfId="0" applyFont="1" applyFill="1"/>
    <xf numFmtId="0" fontId="11" fillId="11" borderId="15" xfId="0" applyFont="1" applyFill="1" applyBorder="1"/>
    <xf numFmtId="0" fontId="11" fillId="0" borderId="0" xfId="0" applyFont="1"/>
    <xf numFmtId="0" fontId="25" fillId="11" borderId="21" xfId="0" applyFont="1" applyFill="1" applyBorder="1"/>
    <xf numFmtId="0" fontId="11" fillId="11" borderId="22" xfId="0" applyFont="1" applyFill="1" applyBorder="1"/>
    <xf numFmtId="0" fontId="11" fillId="11" borderId="23" xfId="0" applyFont="1" applyFill="1" applyBorder="1"/>
    <xf numFmtId="44" fontId="11" fillId="11" borderId="0" xfId="7" applyFont="1" applyFill="1" applyProtection="1"/>
    <xf numFmtId="0" fontId="30" fillId="11" borderId="15" xfId="0" applyFont="1" applyFill="1" applyBorder="1"/>
    <xf numFmtId="0" fontId="29" fillId="0" borderId="15" xfId="0" applyFont="1" applyBorder="1" applyAlignment="1">
      <alignment horizontal="left"/>
    </xf>
    <xf numFmtId="0" fontId="29" fillId="15" borderId="1" xfId="0" applyFont="1" applyFill="1" applyBorder="1" applyAlignment="1">
      <alignment horizontal="right"/>
    </xf>
    <xf numFmtId="164" fontId="29" fillId="0" borderId="1" xfId="0" applyNumberFormat="1" applyFont="1" applyBorder="1"/>
    <xf numFmtId="164" fontId="29" fillId="2" borderId="1" xfId="0" applyNumberFormat="1" applyFont="1" applyFill="1" applyBorder="1" applyProtection="1">
      <protection locked="0"/>
    </xf>
    <xf numFmtId="0" fontId="33" fillId="15" borderId="1" xfId="0" applyFont="1" applyFill="1" applyBorder="1" applyAlignment="1">
      <alignment horizontal="right"/>
    </xf>
    <xf numFmtId="0" fontId="33" fillId="11" borderId="15" xfId="0" applyFont="1" applyFill="1" applyBorder="1" applyAlignment="1">
      <alignment horizontal="left"/>
    </xf>
    <xf numFmtId="0" fontId="29" fillId="11" borderId="15" xfId="0" applyFont="1" applyFill="1" applyBorder="1" applyAlignment="1">
      <alignment horizontal="left"/>
    </xf>
    <xf numFmtId="164" fontId="29" fillId="2" borderId="36" xfId="0" applyNumberFormat="1" applyFont="1" applyFill="1" applyBorder="1" applyProtection="1">
      <protection locked="0"/>
    </xf>
    <xf numFmtId="0" fontId="29" fillId="11" borderId="15" xfId="0" applyFont="1" applyFill="1" applyBorder="1"/>
    <xf numFmtId="0" fontId="3" fillId="11" borderId="0" xfId="0" applyFont="1" applyFill="1"/>
    <xf numFmtId="0" fontId="3" fillId="0" borderId="0" xfId="0" applyFont="1"/>
    <xf numFmtId="0" fontId="35" fillId="11" borderId="15" xfId="0" applyFont="1" applyFill="1" applyBorder="1" applyAlignment="1">
      <alignment horizontal="left"/>
    </xf>
    <xf numFmtId="0" fontId="3" fillId="11" borderId="21" xfId="0" applyFont="1" applyFill="1" applyBorder="1"/>
    <xf numFmtId="0" fontId="34" fillId="11" borderId="15" xfId="0" applyFont="1" applyFill="1" applyBorder="1"/>
    <xf numFmtId="164" fontId="36" fillId="0" borderId="1" xfId="0" applyNumberFormat="1" applyFont="1" applyBorder="1"/>
    <xf numFmtId="0" fontId="37" fillId="11" borderId="0" xfId="0" applyFont="1" applyFill="1"/>
    <xf numFmtId="0" fontId="29" fillId="15" borderId="7" xfId="0" applyFont="1" applyFill="1" applyBorder="1" applyAlignment="1">
      <alignment horizontal="right"/>
    </xf>
    <xf numFmtId="164" fontId="29" fillId="2" borderId="7" xfId="0" applyNumberFormat="1" applyFont="1" applyFill="1" applyBorder="1" applyProtection="1">
      <protection locked="0"/>
    </xf>
    <xf numFmtId="0" fontId="36" fillId="11" borderId="15" xfId="0" applyFont="1" applyFill="1" applyBorder="1"/>
    <xf numFmtId="164" fontId="36" fillId="11" borderId="1" xfId="0" applyNumberFormat="1" applyFont="1" applyFill="1" applyBorder="1"/>
    <xf numFmtId="164" fontId="33" fillId="0" borderId="1" xfId="0" applyNumberFormat="1" applyFont="1" applyBorder="1"/>
    <xf numFmtId="0" fontId="11" fillId="15" borderId="1" xfId="0" applyFont="1" applyFill="1" applyBorder="1" applyAlignment="1">
      <alignment horizontal="right"/>
    </xf>
    <xf numFmtId="0" fontId="11" fillId="15" borderId="1" xfId="0" applyFont="1" applyFill="1" applyBorder="1"/>
    <xf numFmtId="0" fontId="33" fillId="11" borderId="15" xfId="0" applyFont="1" applyFill="1" applyBorder="1"/>
    <xf numFmtId="0" fontId="25" fillId="15" borderId="1" xfId="0" applyFont="1" applyFill="1" applyBorder="1"/>
    <xf numFmtId="164" fontId="11" fillId="11" borderId="1" xfId="0" applyNumberFormat="1" applyFont="1" applyFill="1" applyBorder="1"/>
    <xf numFmtId="164" fontId="11" fillId="2" borderId="1" xfId="0" applyNumberFormat="1" applyFont="1" applyFill="1" applyBorder="1" applyProtection="1">
      <protection locked="0"/>
    </xf>
    <xf numFmtId="164" fontId="25" fillId="0" borderId="1" xfId="0" applyNumberFormat="1" applyFont="1" applyBorder="1"/>
    <xf numFmtId="0" fontId="11" fillId="15" borderId="35" xfId="0" applyFont="1" applyFill="1" applyBorder="1"/>
    <xf numFmtId="164" fontId="11" fillId="11" borderId="35" xfId="0" applyNumberFormat="1" applyFont="1" applyFill="1" applyBorder="1"/>
    <xf numFmtId="0" fontId="11" fillId="11" borderId="24" xfId="0" applyFont="1" applyFill="1" applyBorder="1"/>
    <xf numFmtId="0" fontId="40" fillId="0" borderId="0" xfId="0" applyFont="1" applyAlignment="1">
      <alignment horizontal="left"/>
    </xf>
    <xf numFmtId="0" fontId="25" fillId="5" borderId="1" xfId="0" applyFont="1" applyFill="1" applyBorder="1" applyAlignment="1">
      <alignment vertical="center" wrapText="1"/>
    </xf>
    <xf numFmtId="166" fontId="29" fillId="8" borderId="1" xfId="4" applyNumberFormat="1" applyFont="1" applyFill="1" applyBorder="1" applyAlignment="1" applyProtection="1">
      <alignment horizontal="center" vertical="center"/>
    </xf>
    <xf numFmtId="0" fontId="33" fillId="8" borderId="1" xfId="3" applyFont="1" applyFill="1" applyBorder="1" applyAlignment="1" applyProtection="1">
      <alignment horizontal="left" vertical="center" wrapText="1"/>
    </xf>
    <xf numFmtId="10" fontId="33" fillId="8" borderId="1" xfId="3" applyNumberFormat="1" applyFont="1" applyFill="1" applyBorder="1" applyAlignment="1" applyProtection="1">
      <alignment horizontal="center" vertical="center"/>
    </xf>
    <xf numFmtId="0" fontId="0" fillId="0" borderId="21" xfId="0" applyBorder="1"/>
    <xf numFmtId="44" fontId="0" fillId="0" borderId="0" xfId="0" applyNumberFormat="1"/>
    <xf numFmtId="0" fontId="48" fillId="0" borderId="0" xfId="12" applyFont="1" applyFill="1" applyBorder="1" applyAlignment="1" applyProtection="1">
      <alignment horizontal="center"/>
    </xf>
    <xf numFmtId="0" fontId="25" fillId="5" borderId="25" xfId="0" applyFont="1" applyFill="1" applyBorder="1" applyAlignment="1">
      <alignment vertical="center" wrapText="1"/>
    </xf>
    <xf numFmtId="0" fontId="29" fillId="11" borderId="15" xfId="0" applyFont="1" applyFill="1" applyBorder="1" applyAlignment="1">
      <alignment horizontal="right"/>
    </xf>
    <xf numFmtId="0" fontId="33" fillId="11" borderId="41" xfId="0" applyFont="1" applyFill="1" applyBorder="1" applyAlignment="1">
      <alignment horizontal="left"/>
    </xf>
    <xf numFmtId="0" fontId="25" fillId="5" borderId="15" xfId="0" applyFont="1" applyFill="1" applyBorder="1" applyAlignment="1">
      <alignment vertical="center" wrapText="1"/>
    </xf>
    <xf numFmtId="0" fontId="33" fillId="11" borderId="42" xfId="0" applyFont="1" applyFill="1" applyBorder="1"/>
    <xf numFmtId="164" fontId="33" fillId="11" borderId="0" xfId="0" applyNumberFormat="1" applyFont="1" applyFill="1"/>
    <xf numFmtId="0" fontId="25" fillId="5" borderId="26" xfId="0" applyFont="1" applyFill="1" applyBorder="1" applyAlignment="1">
      <alignment vertical="center" wrapText="1"/>
    </xf>
    <xf numFmtId="0" fontId="25" fillId="5" borderId="27" xfId="0" applyFont="1" applyFill="1" applyBorder="1" applyAlignment="1">
      <alignment vertical="center" wrapText="1"/>
    </xf>
    <xf numFmtId="0" fontId="25" fillId="5" borderId="21" xfId="0" applyFont="1" applyFill="1" applyBorder="1" applyAlignment="1">
      <alignment vertical="center" wrapText="1"/>
    </xf>
    <xf numFmtId="0" fontId="20" fillId="11" borderId="0" xfId="12" applyFill="1" applyProtection="1"/>
    <xf numFmtId="172" fontId="0" fillId="11" borderId="0" xfId="1" applyNumberFormat="1" applyFont="1" applyFill="1" applyAlignment="1" applyProtection="1">
      <alignment horizontal="center"/>
    </xf>
    <xf numFmtId="172" fontId="0" fillId="11" borderId="26" xfId="1" applyNumberFormat="1" applyFont="1" applyFill="1" applyBorder="1" applyAlignment="1" applyProtection="1">
      <alignment horizontal="center"/>
    </xf>
    <xf numFmtId="9" fontId="21" fillId="0" borderId="1" xfId="1" applyFont="1" applyFill="1" applyBorder="1" applyAlignment="1" applyProtection="1">
      <alignment horizontal="center"/>
    </xf>
    <xf numFmtId="10" fontId="21" fillId="0" borderId="1" xfId="1" applyNumberFormat="1" applyFont="1" applyFill="1" applyBorder="1" applyAlignment="1" applyProtection="1">
      <alignment horizontal="center"/>
    </xf>
    <xf numFmtId="172" fontId="54" fillId="0" borderId="0" xfId="1" applyNumberFormat="1" applyFont="1" applyFill="1" applyBorder="1" applyAlignment="1" applyProtection="1">
      <alignment horizontal="center"/>
    </xf>
    <xf numFmtId="172" fontId="50" fillId="11" borderId="0" xfId="1" applyNumberFormat="1" applyFont="1" applyFill="1" applyBorder="1" applyAlignment="1" applyProtection="1">
      <alignment horizontal="center"/>
    </xf>
    <xf numFmtId="172" fontId="0" fillId="11" borderId="23" xfId="1" applyNumberFormat="1" applyFont="1" applyFill="1" applyBorder="1" applyAlignment="1" applyProtection="1">
      <alignment horizontal="center"/>
    </xf>
    <xf numFmtId="0" fontId="0" fillId="0" borderId="15" xfId="0" applyBorder="1"/>
    <xf numFmtId="0" fontId="30" fillId="0" borderId="0" xfId="0" applyFont="1"/>
    <xf numFmtId="0" fontId="11" fillId="0" borderId="15" xfId="0" applyFont="1" applyBorder="1"/>
    <xf numFmtId="10" fontId="21" fillId="0" borderId="0" xfId="1" applyNumberFormat="1" applyFont="1" applyFill="1" applyBorder="1" applyAlignment="1" applyProtection="1">
      <alignment horizontal="center"/>
    </xf>
    <xf numFmtId="9" fontId="21" fillId="0" borderId="0" xfId="1" applyFont="1" applyFill="1" applyBorder="1" applyAlignment="1" applyProtection="1">
      <alignment horizontal="center"/>
    </xf>
    <xf numFmtId="0" fontId="11" fillId="0" borderId="21" xfId="0" applyFont="1" applyBorder="1"/>
    <xf numFmtId="0" fontId="11" fillId="0" borderId="24" xfId="0" applyFont="1" applyBorder="1"/>
    <xf numFmtId="0" fontId="25" fillId="0" borderId="15" xfId="0" applyFont="1" applyBorder="1"/>
    <xf numFmtId="0" fontId="57" fillId="0" borderId="0" xfId="0" applyFont="1" applyAlignment="1">
      <alignment horizontal="center"/>
    </xf>
    <xf numFmtId="0" fontId="11" fillId="0" borderId="15" xfId="0" applyFont="1" applyBorder="1" applyAlignment="1">
      <alignment horizontal="left" indent="1"/>
    </xf>
    <xf numFmtId="175" fontId="33" fillId="2" borderId="1" xfId="0" applyNumberFormat="1" applyFont="1" applyFill="1" applyBorder="1" applyProtection="1">
      <protection locked="0"/>
    </xf>
    <xf numFmtId="0" fontId="25" fillId="0" borderId="0" xfId="0" applyFont="1"/>
    <xf numFmtId="0" fontId="33" fillId="0" borderId="0" xfId="12" applyFont="1" applyFill="1" applyBorder="1" applyAlignment="1" applyProtection="1"/>
    <xf numFmtId="0" fontId="33" fillId="0" borderId="0" xfId="12" applyFont="1" applyFill="1" applyBorder="1" applyAlignment="1" applyProtection="1">
      <alignment vertical="top"/>
    </xf>
    <xf numFmtId="0" fontId="0" fillId="0" borderId="0" xfId="0" applyAlignment="1">
      <alignment horizontal="left"/>
    </xf>
    <xf numFmtId="0" fontId="0" fillId="0" borderId="0" xfId="0" applyAlignment="1">
      <alignment horizontal="left" vertical="top"/>
    </xf>
    <xf numFmtId="0" fontId="44" fillId="20" borderId="15" xfId="0" applyFont="1" applyFill="1" applyBorder="1"/>
    <xf numFmtId="0" fontId="25" fillId="15" borderId="15" xfId="0" applyFont="1" applyFill="1" applyBorder="1"/>
    <xf numFmtId="175" fontId="25" fillId="15" borderId="1" xfId="0" applyNumberFormat="1" applyFont="1" applyFill="1" applyBorder="1"/>
    <xf numFmtId="0" fontId="44" fillId="3" borderId="0" xfId="12" applyFont="1" applyFill="1" applyBorder="1" applyAlignment="1" applyProtection="1"/>
    <xf numFmtId="0" fontId="44" fillId="0" borderId="0" xfId="12" applyFont="1" applyFill="1" applyBorder="1" applyAlignment="1" applyProtection="1"/>
    <xf numFmtId="0" fontId="61" fillId="20" borderId="0" xfId="0" applyFont="1" applyFill="1" applyAlignment="1">
      <alignment horizontal="center"/>
    </xf>
    <xf numFmtId="0" fontId="48" fillId="3" borderId="0" xfId="12" applyFont="1" applyFill="1" applyBorder="1" applyAlignment="1" applyProtection="1"/>
    <xf numFmtId="0" fontId="30" fillId="0" borderId="21" xfId="0" applyFont="1" applyBorder="1"/>
    <xf numFmtId="175" fontId="30" fillId="2" borderId="1" xfId="0" applyNumberFormat="1" applyFont="1" applyFill="1" applyBorder="1" applyProtection="1">
      <protection locked="0"/>
    </xf>
    <xf numFmtId="0" fontId="29" fillId="0" borderId="1" xfId="0" applyFont="1" applyBorder="1" applyAlignment="1">
      <alignment horizontal="right"/>
    </xf>
    <xf numFmtId="0" fontId="29" fillId="0" borderId="15" xfId="0" applyFont="1" applyBorder="1"/>
    <xf numFmtId="164" fontId="1" fillId="2" borderId="1" xfId="0" applyNumberFormat="1" applyFont="1" applyFill="1" applyBorder="1" applyAlignment="1" applyProtection="1">
      <alignment horizontal="center" vertical="center"/>
      <protection locked="0"/>
    </xf>
    <xf numFmtId="164" fontId="29" fillId="2" borderId="53" xfId="0" applyNumberFormat="1" applyFont="1" applyFill="1" applyBorder="1" applyProtection="1">
      <protection locked="0"/>
    </xf>
    <xf numFmtId="0" fontId="29" fillId="2" borderId="15" xfId="0" applyFont="1" applyFill="1" applyBorder="1" applyAlignment="1" applyProtection="1">
      <alignment horizontal="left" indent="1"/>
      <protection locked="0"/>
    </xf>
    <xf numFmtId="0" fontId="74" fillId="0" borderId="0" xfId="0" applyFont="1" applyAlignment="1">
      <alignment horizontal="left"/>
    </xf>
    <xf numFmtId="0" fontId="75" fillId="0" borderId="0" xfId="0" applyFont="1"/>
    <xf numFmtId="0" fontId="33" fillId="15" borderId="54" xfId="0" applyFont="1" applyFill="1" applyBorder="1" applyAlignment="1">
      <alignment horizontal="right"/>
    </xf>
    <xf numFmtId="0" fontId="29" fillId="15" borderId="36" xfId="0" applyFont="1" applyFill="1" applyBorder="1" applyAlignment="1">
      <alignment horizontal="right"/>
    </xf>
    <xf numFmtId="0" fontId="29" fillId="15" borderId="55" xfId="0" applyFont="1" applyFill="1" applyBorder="1" applyAlignment="1">
      <alignment horizontal="right"/>
    </xf>
    <xf numFmtId="164" fontId="29" fillId="2" borderId="55" xfId="0" applyNumberFormat="1" applyFont="1" applyFill="1" applyBorder="1" applyProtection="1">
      <protection locked="0"/>
    </xf>
    <xf numFmtId="0" fontId="33" fillId="0" borderId="1" xfId="12" applyFont="1" applyFill="1" applyBorder="1" applyAlignment="1" applyProtection="1">
      <alignment horizontal="left" vertical="center"/>
    </xf>
    <xf numFmtId="0" fontId="0" fillId="13" borderId="1" xfId="0" applyFill="1" applyBorder="1" applyAlignment="1">
      <alignment horizontal="left" vertical="center"/>
    </xf>
    <xf numFmtId="0" fontId="33" fillId="0" borderId="3" xfId="12" applyFont="1" applyFill="1" applyBorder="1" applyAlignment="1" applyProtection="1">
      <alignment horizontal="left" vertical="center"/>
    </xf>
    <xf numFmtId="0" fontId="29" fillId="2" borderId="22" xfId="0" applyFont="1" applyFill="1" applyBorder="1" applyAlignment="1" applyProtection="1">
      <alignment horizontal="left"/>
      <protection locked="0"/>
    </xf>
    <xf numFmtId="0" fontId="29" fillId="15" borderId="70" xfId="0" applyFont="1" applyFill="1" applyBorder="1" applyAlignment="1">
      <alignment horizontal="right"/>
    </xf>
    <xf numFmtId="0" fontId="29" fillId="2" borderId="22" xfId="0" applyFont="1" applyFill="1" applyBorder="1" applyAlignment="1" applyProtection="1">
      <alignment horizontal="left" indent="1"/>
      <protection locked="0"/>
    </xf>
    <xf numFmtId="0" fontId="33" fillId="0" borderId="16" xfId="0" applyFont="1" applyBorder="1" applyAlignment="1">
      <alignment horizontal="left"/>
    </xf>
    <xf numFmtId="176" fontId="29" fillId="2" borderId="1" xfId="2" applyNumberFormat="1" applyFont="1" applyFill="1" applyBorder="1" applyAlignment="1" applyProtection="1">
      <alignment horizontal="center" vertical="center"/>
      <protection locked="0"/>
    </xf>
    <xf numFmtId="0" fontId="29" fillId="15" borderId="54" xfId="0" applyFont="1" applyFill="1" applyBorder="1" applyAlignment="1">
      <alignment horizontal="right"/>
    </xf>
    <xf numFmtId="0" fontId="28" fillId="11" borderId="0" xfId="0" applyFont="1" applyFill="1"/>
    <xf numFmtId="0" fontId="11" fillId="0" borderId="0" xfId="0" applyFont="1" applyAlignment="1">
      <alignment vertical="top"/>
    </xf>
    <xf numFmtId="0" fontId="25" fillId="0" borderId="0" xfId="0" applyFont="1" applyAlignment="1">
      <alignment vertical="top"/>
    </xf>
    <xf numFmtId="0" fontId="25" fillId="0" borderId="0" xfId="0" applyFont="1" applyAlignment="1">
      <alignment horizontal="left" vertical="top"/>
    </xf>
    <xf numFmtId="0" fontId="82" fillId="22" borderId="0" xfId="0" applyFont="1" applyFill="1" applyAlignment="1">
      <alignment vertical="center"/>
    </xf>
    <xf numFmtId="0" fontId="83" fillId="22" borderId="0" xfId="0" applyFont="1" applyFill="1" applyAlignment="1">
      <alignment vertical="center"/>
    </xf>
    <xf numFmtId="0" fontId="1" fillId="22" borderId="0" xfId="0" applyFont="1" applyFill="1" applyAlignment="1">
      <alignment wrapText="1"/>
    </xf>
    <xf numFmtId="44" fontId="4" fillId="22" borderId="0" xfId="7" applyFont="1" applyFill="1" applyProtection="1"/>
    <xf numFmtId="0" fontId="1" fillId="22" borderId="0" xfId="0" applyFont="1" applyFill="1"/>
    <xf numFmtId="0" fontId="2" fillId="0" borderId="0" xfId="0" applyFont="1" applyAlignment="1">
      <alignment vertical="center"/>
    </xf>
    <xf numFmtId="44" fontId="85" fillId="0" borderId="0" xfId="7" applyFont="1" applyAlignment="1" applyProtection="1">
      <alignment horizontal="left"/>
    </xf>
    <xf numFmtId="44" fontId="85" fillId="0" borderId="0" xfId="7" applyFont="1" applyFill="1" applyAlignment="1" applyProtection="1">
      <alignment horizontal="left"/>
    </xf>
    <xf numFmtId="44" fontId="4" fillId="0" borderId="0" xfId="7" applyFont="1" applyProtection="1"/>
    <xf numFmtId="44" fontId="4" fillId="0" borderId="0" xfId="7" applyFont="1" applyFill="1" applyProtection="1"/>
    <xf numFmtId="0" fontId="86" fillId="0" borderId="0" xfId="0" applyFont="1" applyAlignment="1">
      <alignment vertical="center"/>
    </xf>
    <xf numFmtId="0" fontId="1" fillId="0" borderId="0" xfId="0" applyFont="1" applyAlignment="1">
      <alignment wrapText="1"/>
    </xf>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left" vertical="top" wrapText="1"/>
    </xf>
    <xf numFmtId="0" fontId="88" fillId="23" borderId="74" xfId="1" quotePrefix="1" applyNumberFormat="1" applyFont="1" applyFill="1" applyBorder="1" applyAlignment="1" applyProtection="1">
      <alignment horizontal="center" vertical="center"/>
    </xf>
    <xf numFmtId="49" fontId="4" fillId="0" borderId="0" xfId="7" applyNumberFormat="1" applyFont="1" applyFill="1" applyBorder="1" applyAlignment="1" applyProtection="1">
      <alignment horizontal="center" vertical="top"/>
    </xf>
    <xf numFmtId="169" fontId="4" fillId="0" borderId="0" xfId="7" applyNumberFormat="1" applyFont="1" applyFill="1" applyBorder="1" applyAlignment="1" applyProtection="1">
      <alignment horizontal="center" vertical="top"/>
    </xf>
    <xf numFmtId="9" fontId="89" fillId="0" borderId="0" xfId="1" quotePrefix="1" applyFont="1" applyAlignment="1" applyProtection="1">
      <alignment horizontal="left" vertical="top"/>
    </xf>
    <xf numFmtId="14" fontId="4" fillId="0" borderId="0" xfId="7" applyNumberFormat="1" applyFont="1" applyFill="1" applyBorder="1" applyAlignment="1" applyProtection="1">
      <alignment horizontal="center" vertical="top"/>
    </xf>
    <xf numFmtId="2" fontId="4" fillId="0" borderId="0" xfId="7" applyNumberFormat="1" applyFont="1" applyFill="1" applyBorder="1" applyAlignment="1" applyProtection="1">
      <alignment horizontal="center" vertical="top"/>
    </xf>
    <xf numFmtId="0" fontId="4" fillId="14" borderId="75" xfId="7" applyNumberFormat="1" applyFont="1" applyFill="1" applyBorder="1" applyAlignment="1" applyProtection="1">
      <alignment horizontal="left" vertical="top"/>
    </xf>
    <xf numFmtId="0" fontId="4" fillId="0" borderId="0" xfId="7" applyNumberFormat="1" applyFont="1" applyFill="1" applyBorder="1" applyAlignment="1" applyProtection="1">
      <alignment horizontal="center" vertical="top"/>
    </xf>
    <xf numFmtId="1" fontId="4" fillId="0" borderId="0" xfId="13" applyNumberFormat="1" applyFont="1" applyFill="1" applyBorder="1" applyAlignment="1" applyProtection="1">
      <alignment horizontal="center"/>
    </xf>
    <xf numFmtId="1" fontId="4" fillId="0" borderId="0" xfId="7" applyNumberFormat="1" applyFont="1" applyFill="1" applyBorder="1" applyAlignment="1" applyProtection="1">
      <alignment horizontal="center" vertical="top"/>
    </xf>
    <xf numFmtId="1" fontId="4" fillId="0" borderId="78" xfId="13" applyNumberFormat="1" applyFont="1" applyBorder="1" applyAlignment="1" applyProtection="1">
      <alignment horizontal="center"/>
    </xf>
    <xf numFmtId="0" fontId="2" fillId="0" borderId="0" xfId="0" applyFont="1"/>
    <xf numFmtId="44" fontId="1" fillId="0" borderId="0" xfId="7" applyFont="1" applyProtection="1"/>
    <xf numFmtId="44" fontId="1" fillId="0" borderId="0" xfId="7" applyFont="1" applyFill="1" applyProtection="1"/>
    <xf numFmtId="0" fontId="92" fillId="0" borderId="0" xfId="0" applyFont="1" applyAlignment="1">
      <alignment horizontal="left" vertical="center"/>
    </xf>
    <xf numFmtId="0" fontId="88" fillId="23" borderId="76" xfId="1" quotePrefix="1" applyNumberFormat="1" applyFont="1" applyFill="1" applyBorder="1" applyAlignment="1" applyProtection="1">
      <alignment horizontal="center" vertical="center"/>
    </xf>
    <xf numFmtId="44" fontId="4" fillId="0" borderId="0" xfId="7" applyFont="1" applyFill="1" applyBorder="1" applyAlignment="1" applyProtection="1">
      <alignment vertical="center"/>
    </xf>
    <xf numFmtId="44" fontId="4" fillId="0" borderId="0" xfId="7" applyFont="1" applyBorder="1" applyProtection="1"/>
    <xf numFmtId="44" fontId="4" fillId="0" borderId="0" xfId="7" applyFont="1" applyFill="1" applyBorder="1" applyProtection="1"/>
    <xf numFmtId="0" fontId="1" fillId="0" borderId="0" xfId="0" applyFont="1" applyAlignment="1">
      <alignment horizontal="center"/>
    </xf>
    <xf numFmtId="0" fontId="94" fillId="0" borderId="0" xfId="0" applyFont="1" applyAlignment="1">
      <alignment horizontal="center"/>
    </xf>
    <xf numFmtId="44" fontId="94" fillId="0" borderId="0" xfId="7" applyFont="1" applyAlignment="1" applyProtection="1">
      <alignment horizontal="center" wrapText="1"/>
    </xf>
    <xf numFmtId="44" fontId="94" fillId="0" borderId="0" xfId="7" applyFont="1" applyFill="1" applyAlignment="1" applyProtection="1">
      <alignment horizontal="center" wrapText="1"/>
    </xf>
    <xf numFmtId="0" fontId="92" fillId="0" borderId="0" xfId="0" applyFont="1" applyAlignment="1">
      <alignment horizontal="center"/>
    </xf>
    <xf numFmtId="44" fontId="4" fillId="0" borderId="0" xfId="7" applyFont="1" applyFill="1" applyBorder="1" applyAlignment="1" applyProtection="1">
      <alignment horizontal="center" vertical="center"/>
    </xf>
    <xf numFmtId="0" fontId="4" fillId="0" borderId="0" xfId="7" applyNumberFormat="1" applyFont="1" applyFill="1" applyBorder="1" applyAlignment="1" applyProtection="1">
      <alignment vertical="center"/>
    </xf>
    <xf numFmtId="0" fontId="88" fillId="23" borderId="76" xfId="0" applyFont="1" applyFill="1" applyBorder="1" applyAlignment="1">
      <alignment horizontal="center" vertical="center"/>
    </xf>
    <xf numFmtId="1" fontId="4" fillId="0" borderId="0" xfId="7" applyNumberFormat="1" applyFont="1" applyFill="1" applyBorder="1" applyAlignment="1" applyProtection="1">
      <alignment vertical="center"/>
    </xf>
    <xf numFmtId="44" fontId="4" fillId="0" borderId="0" xfId="7" applyFont="1" applyFill="1" applyBorder="1" applyAlignment="1" applyProtection="1">
      <alignment vertical="top"/>
    </xf>
    <xf numFmtId="44" fontId="94" fillId="0" borderId="0" xfId="7" applyFont="1" applyFill="1" applyBorder="1" applyAlignment="1" applyProtection="1">
      <alignment horizontal="center" vertical="center"/>
    </xf>
    <xf numFmtId="2" fontId="88" fillId="23" borderId="76" xfId="7" applyNumberFormat="1" applyFont="1" applyFill="1" applyBorder="1" applyAlignment="1" applyProtection="1">
      <alignment horizontal="center" vertical="center"/>
    </xf>
    <xf numFmtId="49" fontId="4" fillId="0" borderId="0" xfId="7" applyNumberFormat="1" applyFont="1" applyFill="1" applyBorder="1" applyAlignment="1" applyProtection="1">
      <alignment horizontal="center" vertical="center" wrapText="1"/>
    </xf>
    <xf numFmtId="2" fontId="4" fillId="0" borderId="0" xfId="7" applyNumberFormat="1" applyFont="1" applyFill="1" applyBorder="1" applyAlignment="1" applyProtection="1">
      <alignment vertical="center"/>
    </xf>
    <xf numFmtId="44" fontId="1" fillId="0" borderId="0" xfId="7" applyFont="1" applyFill="1" applyBorder="1" applyProtection="1"/>
    <xf numFmtId="49" fontId="4" fillId="0" borderId="0" xfId="7" applyNumberFormat="1" applyFont="1" applyFill="1" applyBorder="1" applyAlignment="1" applyProtection="1">
      <alignment horizontal="center" vertical="center"/>
    </xf>
    <xf numFmtId="0" fontId="95" fillId="0" borderId="0" xfId="7" applyNumberFormat="1" applyFont="1" applyFill="1" applyBorder="1" applyAlignment="1" applyProtection="1">
      <alignment horizontal="left" vertical="center"/>
    </xf>
    <xf numFmtId="49" fontId="4" fillId="0" borderId="0" xfId="7" applyNumberFormat="1" applyFont="1" applyAlignment="1" applyProtection="1">
      <alignment horizontal="center" vertical="center"/>
    </xf>
    <xf numFmtId="0" fontId="4" fillId="14" borderId="0" xfId="7" applyNumberFormat="1" applyFont="1" applyFill="1" applyBorder="1" applyAlignment="1" applyProtection="1">
      <alignment horizontal="left" vertical="center"/>
    </xf>
    <xf numFmtId="0" fontId="4" fillId="14" borderId="0" xfId="7" applyNumberFormat="1" applyFont="1" applyFill="1" applyBorder="1" applyAlignment="1" applyProtection="1">
      <alignment horizontal="left" vertical="center" wrapText="1" indent="2"/>
    </xf>
    <xf numFmtId="44" fontId="77" fillId="0" borderId="0" xfId="7" applyFont="1" applyFill="1" applyBorder="1" applyAlignment="1" applyProtection="1">
      <alignment vertical="top" wrapText="1"/>
    </xf>
    <xf numFmtId="44" fontId="4" fillId="0" borderId="0" xfId="7" applyFont="1" applyBorder="1" applyAlignment="1" applyProtection="1"/>
    <xf numFmtId="44" fontId="4" fillId="0" borderId="0" xfId="7" applyFont="1" applyFill="1" applyBorder="1" applyAlignment="1" applyProtection="1"/>
    <xf numFmtId="0" fontId="1" fillId="22" borderId="0" xfId="0" applyFont="1" applyFill="1" applyAlignment="1">
      <alignment horizontal="center" vertical="center" wrapText="1"/>
    </xf>
    <xf numFmtId="0" fontId="2" fillId="22" borderId="0" xfId="0" applyFont="1" applyFill="1" applyAlignment="1">
      <alignment horizontal="right" vertical="top"/>
    </xf>
    <xf numFmtId="0" fontId="84" fillId="0" borderId="0" xfId="0" applyFont="1" applyAlignment="1">
      <alignment vertical="center"/>
    </xf>
    <xf numFmtId="0" fontId="2" fillId="0" borderId="0" xfId="0" applyFont="1" applyAlignment="1">
      <alignment horizontal="center" vertical="center"/>
    </xf>
    <xf numFmtId="44" fontId="4" fillId="0" borderId="0" xfId="7" applyFont="1" applyAlignment="1" applyProtection="1">
      <alignment horizontal="left"/>
    </xf>
    <xf numFmtId="9" fontId="97" fillId="0" borderId="0" xfId="1" applyFont="1" applyAlignment="1" applyProtection="1">
      <alignment horizontal="left" vertical="top"/>
    </xf>
    <xf numFmtId="0" fontId="4" fillId="0" borderId="0" xfId="0" applyFont="1"/>
    <xf numFmtId="44" fontId="4" fillId="0" borderId="0" xfId="7" applyFont="1"/>
    <xf numFmtId="0" fontId="98" fillId="0" borderId="0" xfId="0" applyFont="1" applyAlignment="1">
      <alignment vertical="top"/>
    </xf>
    <xf numFmtId="14" fontId="4" fillId="24" borderId="4" xfId="7" applyNumberFormat="1" applyFont="1" applyFill="1" applyBorder="1" applyAlignment="1" applyProtection="1">
      <alignment horizontal="left" vertical="top"/>
    </xf>
    <xf numFmtId="14" fontId="4" fillId="0" borderId="0" xfId="7" applyNumberFormat="1" applyFont="1" applyAlignment="1" applyProtection="1">
      <alignment horizontal="center" vertical="top"/>
      <protection locked="0"/>
    </xf>
    <xf numFmtId="0" fontId="2" fillId="0" borderId="0" xfId="0" applyFont="1" applyAlignment="1">
      <alignment vertical="top"/>
    </xf>
    <xf numFmtId="0" fontId="88" fillId="23" borderId="74" xfId="1" quotePrefix="1" applyNumberFormat="1" applyFont="1" applyFill="1" applyBorder="1" applyAlignment="1">
      <alignment horizontal="center" vertical="center"/>
    </xf>
    <xf numFmtId="0" fontId="4" fillId="24" borderId="75" xfId="7" applyNumberFormat="1" applyFont="1" applyFill="1" applyBorder="1" applyAlignment="1" applyProtection="1">
      <alignment horizontal="left" vertical="top"/>
    </xf>
    <xf numFmtId="49" fontId="4" fillId="0" borderId="0" xfId="7" applyNumberFormat="1" applyFont="1" applyAlignment="1" applyProtection="1">
      <alignment horizontal="center" vertical="top"/>
      <protection locked="0"/>
    </xf>
    <xf numFmtId="0" fontId="4" fillId="0" borderId="0" xfId="0" applyFont="1" applyAlignment="1">
      <alignment vertical="top"/>
    </xf>
    <xf numFmtId="0" fontId="4" fillId="0" borderId="0" xfId="7" applyNumberFormat="1" applyFont="1" applyAlignment="1" applyProtection="1">
      <alignment horizontal="center" vertical="top"/>
      <protection locked="0"/>
    </xf>
    <xf numFmtId="44" fontId="1" fillId="0" borderId="0" xfId="7" applyFont="1" applyAlignment="1" applyProtection="1">
      <alignment horizontal="left"/>
    </xf>
    <xf numFmtId="0" fontId="99" fillId="0" borderId="0" xfId="0" applyFont="1" applyAlignment="1">
      <alignment vertical="center"/>
    </xf>
    <xf numFmtId="0" fontId="1" fillId="0" borderId="0" xfId="0" applyFont="1" applyAlignment="1">
      <alignment horizontal="center" vertical="center"/>
    </xf>
    <xf numFmtId="0" fontId="91" fillId="0" borderId="0" xfId="0" applyFont="1" applyAlignment="1">
      <alignment vertical="center"/>
    </xf>
    <xf numFmtId="0" fontId="4" fillId="0" borderId="0" xfId="0" applyFont="1" applyAlignment="1">
      <alignment vertical="top" wrapText="1"/>
    </xf>
    <xf numFmtId="0" fontId="88" fillId="23" borderId="74" xfId="0" applyFont="1" applyFill="1" applyBorder="1" applyAlignment="1">
      <alignment horizontal="center" vertical="center"/>
    </xf>
    <xf numFmtId="44" fontId="4" fillId="9" borderId="75" xfId="7" applyFont="1" applyFill="1" applyBorder="1" applyAlignment="1" applyProtection="1">
      <alignment horizontal="left" vertical="center"/>
      <protection locked="0"/>
    </xf>
    <xf numFmtId="9" fontId="101" fillId="0" borderId="0" xfId="1" quotePrefix="1" applyFont="1" applyAlignment="1" applyProtection="1">
      <alignment horizontal="left" vertical="top"/>
    </xf>
    <xf numFmtId="0" fontId="91" fillId="0" borderId="0" xfId="0" applyFont="1"/>
    <xf numFmtId="44" fontId="101" fillId="0" borderId="0" xfId="1" quotePrefix="1" applyNumberFormat="1" applyFont="1" applyAlignment="1" applyProtection="1">
      <alignment horizontal="left" vertical="top"/>
    </xf>
    <xf numFmtId="44" fontId="4" fillId="9" borderId="77" xfId="7" applyFont="1" applyFill="1" applyBorder="1" applyAlignment="1" applyProtection="1">
      <alignment horizontal="left" vertical="center"/>
      <protection locked="0"/>
    </xf>
    <xf numFmtId="9" fontId="102" fillId="0" borderId="0" xfId="1" quotePrefix="1" applyFont="1" applyAlignment="1" applyProtection="1">
      <alignment horizontal="left" vertical="top"/>
    </xf>
    <xf numFmtId="9" fontId="4" fillId="0" borderId="0" xfId="1" applyFont="1" applyProtection="1"/>
    <xf numFmtId="0" fontId="1" fillId="0" borderId="0" xfId="0" applyFont="1" applyAlignment="1">
      <alignment horizontal="left" vertical="center"/>
    </xf>
    <xf numFmtId="0" fontId="97" fillId="0" borderId="0" xfId="0" quotePrefix="1" applyFont="1" applyAlignment="1">
      <alignment vertical="center" wrapText="1"/>
    </xf>
    <xf numFmtId="0" fontId="2" fillId="0" borderId="0" xfId="0" quotePrefix="1" applyFont="1" applyAlignment="1">
      <alignment vertical="center"/>
    </xf>
    <xf numFmtId="0" fontId="92" fillId="0" borderId="0" xfId="0" applyFont="1" applyAlignment="1">
      <alignment horizontal="center" vertical="center"/>
    </xf>
    <xf numFmtId="44" fontId="94" fillId="0" borderId="0" xfId="7" quotePrefix="1" applyFont="1" applyFill="1" applyBorder="1" applyAlignment="1" applyProtection="1">
      <alignment horizontal="left" vertical="center"/>
    </xf>
    <xf numFmtId="9" fontId="103" fillId="0" borderId="0" xfId="1" quotePrefix="1" applyFont="1" applyAlignment="1" applyProtection="1">
      <alignment horizontal="left" vertical="top"/>
    </xf>
    <xf numFmtId="9" fontId="102" fillId="0" borderId="0" xfId="1" applyFont="1" applyAlignment="1" applyProtection="1">
      <alignment horizontal="left" vertical="top"/>
    </xf>
    <xf numFmtId="0" fontId="94" fillId="0" borderId="0" xfId="0" applyFont="1"/>
    <xf numFmtId="0" fontId="99" fillId="0" borderId="0" xfId="0" applyFont="1"/>
    <xf numFmtId="9" fontId="104" fillId="0" borderId="0" xfId="1" applyFont="1" applyAlignment="1" applyProtection="1">
      <alignment horizontal="left" vertical="top"/>
    </xf>
    <xf numFmtId="0" fontId="97" fillId="0" borderId="0" xfId="0" applyFont="1"/>
    <xf numFmtId="0" fontId="1" fillId="0" borderId="0" xfId="0" quotePrefix="1" applyFont="1"/>
    <xf numFmtId="0" fontId="1" fillId="0" borderId="0" xfId="0" quotePrefix="1" applyFont="1" applyAlignment="1">
      <alignment horizontal="center" vertical="center"/>
    </xf>
    <xf numFmtId="44" fontId="94" fillId="0" borderId="0" xfId="7" applyFont="1" applyFill="1" applyBorder="1" applyAlignment="1" applyProtection="1">
      <alignment horizontal="left" vertical="center"/>
    </xf>
    <xf numFmtId="0" fontId="1" fillId="0" borderId="0" xfId="0" applyFont="1" applyAlignment="1">
      <alignment vertical="top" wrapText="1"/>
    </xf>
    <xf numFmtId="0" fontId="1" fillId="0" borderId="0" xfId="0" applyFont="1" applyAlignment="1">
      <alignment horizontal="center" vertical="center" wrapText="1"/>
    </xf>
    <xf numFmtId="44" fontId="4" fillId="0" borderId="0" xfId="7" applyFont="1" applyFill="1" applyBorder="1" applyAlignment="1" applyProtection="1">
      <alignment horizontal="left" vertical="center"/>
    </xf>
    <xf numFmtId="0" fontId="2" fillId="0" borderId="10" xfId="0" quotePrefix="1" applyFont="1" applyBorder="1" applyAlignment="1">
      <alignment wrapText="1"/>
    </xf>
    <xf numFmtId="44" fontId="4" fillId="0" borderId="77" xfId="7" applyFont="1" applyFill="1" applyBorder="1" applyAlignment="1" applyProtection="1">
      <alignment horizontal="left" vertical="center"/>
    </xf>
    <xf numFmtId="44" fontId="4" fillId="0" borderId="0" xfId="7" applyFont="1" applyFill="1" applyBorder="1" applyAlignment="1" applyProtection="1">
      <alignment horizontal="left" vertical="top"/>
    </xf>
    <xf numFmtId="0" fontId="97" fillId="0" borderId="0" xfId="0" applyFont="1" applyAlignment="1">
      <alignment vertical="top"/>
    </xf>
    <xf numFmtId="44" fontId="4" fillId="0" borderId="0" xfId="7" applyFont="1" applyFill="1" applyBorder="1" applyAlignment="1" applyProtection="1">
      <alignment horizontal="left" vertical="top" wrapText="1"/>
    </xf>
    <xf numFmtId="44" fontId="102" fillId="0" borderId="0" xfId="0" applyNumberFormat="1" applyFont="1" applyAlignment="1">
      <alignment vertical="top" wrapText="1"/>
    </xf>
    <xf numFmtId="44" fontId="102" fillId="0" borderId="0" xfId="0" quotePrefix="1" applyNumberFormat="1" applyFont="1" applyAlignment="1">
      <alignment vertical="top" wrapText="1"/>
    </xf>
    <xf numFmtId="0" fontId="91" fillId="0" borderId="0" xfId="0" applyFont="1" applyAlignment="1">
      <alignment horizontal="left"/>
    </xf>
    <xf numFmtId="0" fontId="2" fillId="0" borderId="10" xfId="0" quotePrefix="1" applyFont="1" applyBorder="1"/>
    <xf numFmtId="44" fontId="94" fillId="0" borderId="77" xfId="7" applyFont="1" applyFill="1" applyBorder="1" applyAlignment="1" applyProtection="1">
      <alignment horizontal="left" vertical="center"/>
    </xf>
    <xf numFmtId="44" fontId="97" fillId="0" borderId="0" xfId="0" quotePrefix="1" applyNumberFormat="1" applyFont="1" applyAlignment="1">
      <alignment horizontal="left" vertical="top"/>
    </xf>
    <xf numFmtId="0" fontId="95" fillId="0" borderId="0" xfId="0" applyFont="1" applyAlignment="1">
      <alignment horizontal="left" vertical="top" indent="2"/>
    </xf>
    <xf numFmtId="44" fontId="4" fillId="0" borderId="0" xfId="7" quotePrefix="1" applyFont="1" applyFill="1" applyBorder="1" applyAlignment="1" applyProtection="1">
      <alignment horizontal="left" vertical="center"/>
    </xf>
    <xf numFmtId="9" fontId="97" fillId="0" borderId="0" xfId="1" quotePrefix="1" applyFont="1" applyAlignment="1" applyProtection="1">
      <alignment horizontal="left" vertical="top"/>
    </xf>
    <xf numFmtId="44" fontId="2" fillId="0" borderId="0" xfId="7" applyFont="1" applyFill="1" applyBorder="1" applyAlignment="1" applyProtection="1">
      <alignment horizontal="left"/>
    </xf>
    <xf numFmtId="0" fontId="105" fillId="0" borderId="0" xfId="0" applyFont="1"/>
    <xf numFmtId="0" fontId="106" fillId="0" borderId="0" xfId="0" applyFont="1"/>
    <xf numFmtId="0" fontId="106" fillId="0" borderId="0" xfId="0" applyFont="1" applyAlignment="1">
      <alignment horizontal="center" vertical="center"/>
    </xf>
    <xf numFmtId="44" fontId="106" fillId="0" borderId="0" xfId="7" applyFont="1" applyFill="1" applyBorder="1" applyAlignment="1" applyProtection="1">
      <alignment horizontal="left"/>
    </xf>
    <xf numFmtId="0" fontId="1" fillId="0" borderId="0" xfId="0" applyFont="1" applyAlignment="1">
      <alignment horizontal="left" indent="1"/>
    </xf>
    <xf numFmtId="0" fontId="106" fillId="0" borderId="0" xfId="0" applyFont="1" applyAlignment="1">
      <alignment horizontal="center"/>
    </xf>
    <xf numFmtId="0" fontId="4" fillId="0" borderId="0" xfId="0" applyFont="1" applyAlignment="1">
      <alignment horizontal="center" vertical="center"/>
    </xf>
    <xf numFmtId="0" fontId="101" fillId="0" borderId="0" xfId="0" applyFont="1" applyAlignment="1">
      <alignment vertical="top"/>
    </xf>
    <xf numFmtId="0" fontId="4" fillId="0" borderId="0" xfId="0" applyFont="1" applyAlignment="1">
      <alignment horizontal="center"/>
    </xf>
    <xf numFmtId="0" fontId="94" fillId="0" borderId="10" xfId="0" applyFont="1" applyBorder="1"/>
    <xf numFmtId="44" fontId="4" fillId="0" borderId="77" xfId="7" applyFont="1" applyBorder="1" applyAlignment="1" applyProtection="1">
      <alignment horizontal="left" vertical="center"/>
    </xf>
    <xf numFmtId="0" fontId="106" fillId="0" borderId="0" xfId="0" applyFont="1" applyAlignment="1">
      <alignment vertical="top"/>
    </xf>
    <xf numFmtId="43" fontId="97" fillId="0" borderId="0" xfId="13" applyFont="1" applyAlignment="1" applyProtection="1">
      <alignment horizontal="left" vertical="top"/>
    </xf>
    <xf numFmtId="0" fontId="92" fillId="0" borderId="0" xfId="0" applyFont="1"/>
    <xf numFmtId="0" fontId="94" fillId="0" borderId="10" xfId="0" quotePrefix="1" applyFont="1" applyBorder="1"/>
    <xf numFmtId="0" fontId="84" fillId="0" borderId="10" xfId="0" applyFont="1" applyBorder="1"/>
    <xf numFmtId="0" fontId="84" fillId="0" borderId="10" xfId="0" applyFont="1" applyBorder="1" applyAlignment="1">
      <alignment horizontal="center" vertical="center"/>
    </xf>
    <xf numFmtId="44" fontId="77" fillId="25" borderId="74" xfId="7" applyFont="1" applyFill="1" applyBorder="1" applyAlignment="1" applyProtection="1">
      <alignment horizontal="left" vertical="center"/>
    </xf>
    <xf numFmtId="9" fontId="97" fillId="0" borderId="0" xfId="1" quotePrefix="1" applyFont="1" applyProtection="1"/>
    <xf numFmtId="0" fontId="106" fillId="0" borderId="0" xfId="0" quotePrefix="1" applyFont="1"/>
    <xf numFmtId="0" fontId="106" fillId="0" borderId="0" xfId="0" quotePrefix="1" applyFont="1" applyAlignment="1">
      <alignment horizontal="center" vertical="center"/>
    </xf>
    <xf numFmtId="9" fontId="101" fillId="0" borderId="0" xfId="1" applyFont="1" applyAlignment="1" applyProtection="1">
      <alignment horizontal="left" vertical="top"/>
    </xf>
    <xf numFmtId="44" fontId="4" fillId="0" borderId="0" xfId="7" applyFont="1" applyAlignment="1" applyProtection="1">
      <alignment horizontal="left" vertical="center"/>
    </xf>
    <xf numFmtId="0" fontId="92" fillId="0" borderId="0" xfId="0" applyFont="1" applyAlignment="1">
      <alignment vertical="top"/>
    </xf>
    <xf numFmtId="0" fontId="2" fillId="0" borderId="10" xfId="0" applyFont="1" applyBorder="1" applyAlignment="1">
      <alignment horizontal="left"/>
    </xf>
    <xf numFmtId="43" fontId="94" fillId="0" borderId="77" xfId="13" applyFont="1" applyFill="1" applyBorder="1" applyAlignment="1" applyProtection="1">
      <alignment horizontal="left" vertical="center"/>
    </xf>
    <xf numFmtId="44" fontId="97" fillId="0" borderId="0" xfId="1" applyNumberFormat="1" applyFont="1" applyAlignment="1" applyProtection="1">
      <alignment horizontal="left" vertical="top"/>
    </xf>
    <xf numFmtId="0" fontId="1" fillId="0" borderId="0" xfId="0" quotePrefix="1" applyFont="1" applyAlignment="1">
      <alignment horizontal="right"/>
    </xf>
    <xf numFmtId="179" fontId="4" fillId="0" borderId="0" xfId="13" quotePrefix="1" applyNumberFormat="1" applyFont="1" applyFill="1" applyBorder="1" applyAlignment="1" applyProtection="1">
      <alignment vertical="center"/>
    </xf>
    <xf numFmtId="0" fontId="88" fillId="23" borderId="79" xfId="0" applyFont="1" applyFill="1" applyBorder="1" applyAlignment="1">
      <alignment horizontal="center" vertical="center"/>
    </xf>
    <xf numFmtId="176" fontId="4" fillId="25" borderId="74" xfId="7" applyNumberFormat="1" applyFont="1" applyFill="1" applyBorder="1" applyAlignment="1" applyProtection="1">
      <alignment horizontal="left" vertical="center"/>
      <protection locked="0"/>
    </xf>
    <xf numFmtId="1" fontId="4" fillId="10" borderId="75" xfId="7" applyNumberFormat="1" applyFont="1" applyFill="1" applyBorder="1" applyAlignment="1" applyProtection="1">
      <alignment horizontal="left" vertical="top"/>
    </xf>
    <xf numFmtId="14" fontId="4" fillId="0" borderId="0" xfId="7" applyNumberFormat="1" applyFont="1" applyFill="1" applyBorder="1" applyAlignment="1" applyProtection="1">
      <alignment horizontal="left" vertical="top"/>
    </xf>
    <xf numFmtId="2" fontId="12" fillId="0" borderId="0" xfId="7" applyNumberFormat="1" applyFont="1" applyFill="1" applyBorder="1" applyAlignment="1" applyProtection="1">
      <alignment vertical="center"/>
    </xf>
    <xf numFmtId="44" fontId="12" fillId="0" borderId="0" xfId="7" applyFont="1" applyBorder="1" applyProtection="1"/>
    <xf numFmtId="44" fontId="0" fillId="0" borderId="0" xfId="7" applyFont="1" applyFill="1" applyBorder="1" applyProtection="1"/>
    <xf numFmtId="44" fontId="0" fillId="0" borderId="0" xfId="7" applyFont="1" applyBorder="1" applyProtection="1"/>
    <xf numFmtId="0" fontId="109" fillId="0" borderId="0" xfId="7" applyNumberFormat="1" applyFont="1" applyFill="1" applyBorder="1" applyAlignment="1" applyProtection="1">
      <alignment horizontal="left" vertical="center"/>
    </xf>
    <xf numFmtId="49" fontId="12" fillId="0" borderId="0" xfId="7" applyNumberFormat="1" applyFont="1" applyFill="1" applyBorder="1" applyAlignment="1" applyProtection="1">
      <alignment horizontal="center" vertical="center"/>
    </xf>
    <xf numFmtId="0" fontId="0" fillId="11" borderId="15" xfId="0" applyFill="1" applyBorder="1"/>
    <xf numFmtId="0" fontId="59" fillId="0" borderId="3" xfId="12" applyFont="1" applyFill="1" applyBorder="1" applyAlignment="1" applyProtection="1">
      <alignment horizontal="left" vertical="center"/>
    </xf>
    <xf numFmtId="0" fontId="29" fillId="11" borderId="17" xfId="0" applyFont="1" applyFill="1" applyBorder="1" applyAlignment="1">
      <alignment horizontal="left" indent="1"/>
    </xf>
    <xf numFmtId="9" fontId="89" fillId="0" borderId="0" xfId="1" quotePrefix="1" applyFont="1" applyFill="1" applyAlignment="1" applyProtection="1">
      <alignment horizontal="left" vertical="top"/>
    </xf>
    <xf numFmtId="8" fontId="0" fillId="0" borderId="0" xfId="0" applyNumberFormat="1"/>
    <xf numFmtId="1" fontId="29" fillId="0" borderId="0" xfId="7" applyNumberFormat="1" applyFont="1" applyFill="1" applyBorder="1" applyAlignment="1" applyProtection="1">
      <alignment vertical="top"/>
    </xf>
    <xf numFmtId="49" fontId="29" fillId="2" borderId="1" xfId="7" applyNumberFormat="1" applyFont="1" applyFill="1" applyBorder="1" applyAlignment="1" applyProtection="1">
      <alignment vertical="center"/>
      <protection locked="0"/>
    </xf>
    <xf numFmtId="177" fontId="29" fillId="2" borderId="1" xfId="7" applyNumberFormat="1" applyFont="1" applyFill="1" applyBorder="1" applyAlignment="1" applyProtection="1">
      <alignment vertical="center"/>
      <protection locked="0"/>
    </xf>
    <xf numFmtId="176" fontId="29" fillId="2" borderId="1" xfId="7" applyNumberFormat="1" applyFont="1" applyFill="1" applyBorder="1" applyAlignment="1" applyProtection="1">
      <alignment horizontal="left" vertical="center"/>
      <protection locked="0"/>
    </xf>
    <xf numFmtId="1" fontId="4" fillId="2" borderId="80" xfId="13" applyNumberFormat="1" applyFont="1" applyFill="1" applyBorder="1" applyAlignment="1" applyProtection="1">
      <alignment horizontal="center"/>
      <protection locked="0"/>
    </xf>
    <xf numFmtId="1" fontId="4" fillId="2" borderId="2" xfId="13" applyNumberFormat="1" applyFont="1" applyFill="1" applyBorder="1" applyAlignment="1" applyProtection="1">
      <alignment horizontal="center"/>
      <protection locked="0"/>
    </xf>
    <xf numFmtId="176" fontId="4" fillId="2" borderId="2" xfId="13" applyNumberFormat="1" applyFont="1" applyFill="1" applyBorder="1" applyAlignment="1" applyProtection="1">
      <alignment horizontal="center"/>
      <protection locked="0"/>
    </xf>
    <xf numFmtId="0" fontId="20" fillId="11" borderId="0" xfId="12" applyFill="1" applyAlignment="1" applyProtection="1"/>
    <xf numFmtId="0" fontId="25" fillId="0" borderId="0" xfId="0" applyFont="1" applyAlignment="1">
      <alignment horizontal="left" wrapText="1"/>
    </xf>
    <xf numFmtId="0" fontId="0" fillId="11" borderId="0" xfId="0" applyFill="1" applyAlignment="1">
      <alignment horizontal="left"/>
    </xf>
    <xf numFmtId="0" fontId="0" fillId="11" borderId="21" xfId="0" applyFill="1" applyBorder="1"/>
    <xf numFmtId="0" fontId="25" fillId="11" borderId="15" xfId="0" applyFont="1" applyFill="1" applyBorder="1" applyAlignment="1">
      <alignment horizontal="left" indent="1"/>
    </xf>
    <xf numFmtId="0" fontId="29" fillId="15" borderId="2" xfId="0" applyFont="1" applyFill="1" applyBorder="1" applyAlignment="1">
      <alignment horizontal="right"/>
    </xf>
    <xf numFmtId="0" fontId="12" fillId="11" borderId="0" xfId="0" applyFont="1" applyFill="1"/>
    <xf numFmtId="0" fontId="12" fillId="0" borderId="0" xfId="0" applyFont="1"/>
    <xf numFmtId="0" fontId="25" fillId="0" borderId="15" xfId="0" applyFont="1" applyBorder="1" applyAlignment="1">
      <alignment horizontal="left" indent="1"/>
    </xf>
    <xf numFmtId="0" fontId="18" fillId="11" borderId="15" xfId="0" applyFont="1" applyFill="1" applyBorder="1" applyAlignment="1">
      <alignment horizontal="left" indent="1"/>
    </xf>
    <xf numFmtId="0" fontId="25" fillId="0" borderId="15" xfId="0" applyFont="1" applyBorder="1" applyAlignment="1">
      <alignment horizontal="right"/>
    </xf>
    <xf numFmtId="0" fontId="33" fillId="0" borderId="0" xfId="0" applyFont="1" applyAlignment="1">
      <alignment horizontal="left" vertical="center" wrapText="1"/>
    </xf>
    <xf numFmtId="0" fontId="25" fillId="11" borderId="15" xfId="0" applyFont="1" applyFill="1" applyBorder="1" applyAlignment="1">
      <alignment horizontal="right" indent="1"/>
    </xf>
    <xf numFmtId="0" fontId="112" fillId="0" borderId="15" xfId="0" applyFont="1" applyBorder="1"/>
    <xf numFmtId="0" fontId="0" fillId="0" borderId="21" xfId="0" applyBorder="1" applyAlignment="1">
      <alignment wrapText="1"/>
    </xf>
    <xf numFmtId="0" fontId="0" fillId="0" borderId="0" xfId="0" applyAlignment="1">
      <alignment horizontal="center"/>
    </xf>
    <xf numFmtId="0" fontId="0" fillId="0" borderId="22" xfId="0" applyBorder="1"/>
    <xf numFmtId="0" fontId="0" fillId="0" borderId="23" xfId="0" applyBorder="1"/>
    <xf numFmtId="0" fontId="0" fillId="0" borderId="24" xfId="0" applyBorder="1" applyAlignment="1">
      <alignment wrapText="1"/>
    </xf>
    <xf numFmtId="0" fontId="32" fillId="3" borderId="16" xfId="0" applyFont="1" applyFill="1" applyBorder="1" applyAlignment="1">
      <alignment horizontal="left" vertical="center" wrapText="1"/>
    </xf>
    <xf numFmtId="0" fontId="18" fillId="11" borderId="0" xfId="0" applyFont="1" applyFill="1" applyAlignment="1">
      <alignment horizontal="left" indent="1"/>
    </xf>
    <xf numFmtId="0" fontId="44" fillId="3" borderId="1" xfId="0" applyFont="1" applyFill="1" applyBorder="1" applyAlignment="1">
      <alignment horizontal="center" vertical="center" wrapText="1"/>
    </xf>
    <xf numFmtId="0" fontId="18" fillId="27" borderId="1" xfId="0" applyFont="1" applyFill="1" applyBorder="1" applyAlignment="1">
      <alignment horizontal="center" vertical="center"/>
    </xf>
    <xf numFmtId="0" fontId="12" fillId="11" borderId="0" xfId="0" applyFont="1" applyFill="1" applyAlignment="1">
      <alignment vertical="center" wrapText="1"/>
    </xf>
    <xf numFmtId="0" fontId="18" fillId="27" borderId="1" xfId="0" applyFont="1" applyFill="1" applyBorder="1" applyAlignment="1">
      <alignment horizontal="center" vertical="center" wrapText="1"/>
    </xf>
    <xf numFmtId="0" fontId="0" fillId="11" borderId="0" xfId="0" applyFill="1" applyAlignment="1">
      <alignment vertical="center" wrapText="1"/>
    </xf>
    <xf numFmtId="0" fontId="18" fillId="28" borderId="1" xfId="0" applyFont="1" applyFill="1" applyBorder="1" applyAlignment="1">
      <alignment horizontal="center" vertical="center" wrapText="1"/>
    </xf>
    <xf numFmtId="0" fontId="12" fillId="0" borderId="0" xfId="0" applyFont="1" applyAlignment="1">
      <alignment vertical="center" wrapText="1"/>
    </xf>
    <xf numFmtId="0" fontId="0" fillId="0" borderId="0" xfId="0" applyAlignment="1">
      <alignment vertical="center" wrapText="1"/>
    </xf>
    <xf numFmtId="0" fontId="18" fillId="29" borderId="1" xfId="0" applyFont="1" applyFill="1" applyBorder="1" applyAlignment="1">
      <alignment horizontal="center" vertical="center" wrapText="1"/>
    </xf>
    <xf numFmtId="0" fontId="22" fillId="13" borderId="7" xfId="0" applyFont="1" applyFill="1" applyBorder="1" applyAlignment="1">
      <alignment horizontal="left" indent="1"/>
    </xf>
    <xf numFmtId="0" fontId="18" fillId="13" borderId="6" xfId="0" applyFont="1" applyFill="1" applyBorder="1" applyAlignment="1">
      <alignment horizontal="left" indent="1"/>
    </xf>
    <xf numFmtId="0" fontId="12" fillId="15" borderId="1" xfId="0" applyFont="1" applyFill="1" applyBorder="1" applyAlignment="1">
      <alignment horizontal="right"/>
    </xf>
    <xf numFmtId="0" fontId="0" fillId="13" borderId="1" xfId="0" applyFill="1" applyBorder="1" applyAlignment="1">
      <alignment horizontal="center"/>
    </xf>
    <xf numFmtId="0" fontId="108" fillId="0" borderId="0" xfId="0" applyFont="1" applyAlignment="1">
      <alignment horizontal="center" vertical="center"/>
    </xf>
    <xf numFmtId="0" fontId="19" fillId="0" borderId="0" xfId="0" applyFont="1"/>
    <xf numFmtId="0" fontId="19" fillId="0" borderId="0" xfId="0" applyFont="1" applyAlignment="1">
      <alignment horizontal="left"/>
    </xf>
    <xf numFmtId="0" fontId="19" fillId="11" borderId="0" xfId="0" applyFont="1" applyFill="1"/>
    <xf numFmtId="0" fontId="0" fillId="0" borderId="0" xfId="0" applyAlignment="1">
      <alignment horizontal="left" vertical="center" indent="4"/>
    </xf>
    <xf numFmtId="0" fontId="38" fillId="0" borderId="0" xfId="0" applyFont="1" applyAlignment="1">
      <alignment horizontal="left" vertical="center"/>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11" fillId="0" borderId="1" xfId="0" applyFont="1" applyBorder="1" applyAlignment="1">
      <alignment horizontal="left" vertical="center"/>
    </xf>
    <xf numFmtId="0" fontId="39" fillId="5" borderId="1" xfId="0" applyFont="1" applyFill="1" applyBorder="1" applyAlignment="1">
      <alignment vertical="center" wrapText="1"/>
    </xf>
    <xf numFmtId="164" fontId="40" fillId="5" borderId="1" xfId="0" applyNumberFormat="1" applyFont="1" applyFill="1" applyBorder="1" applyAlignment="1">
      <alignment horizontal="center" vertical="center"/>
    </xf>
    <xf numFmtId="0" fontId="29" fillId="0" borderId="0" xfId="0" applyFont="1"/>
    <xf numFmtId="164" fontId="25" fillId="5" borderId="1" xfId="0" applyNumberFormat="1" applyFont="1" applyFill="1" applyBorder="1" applyAlignment="1">
      <alignment horizontal="center" vertical="center"/>
    </xf>
    <xf numFmtId="164" fontId="39" fillId="5" borderId="1" xfId="0" applyNumberFormat="1" applyFont="1" applyFill="1" applyBorder="1" applyAlignment="1">
      <alignment horizontal="center" vertical="center"/>
    </xf>
    <xf numFmtId="0" fontId="11" fillId="0" borderId="0" xfId="0" applyFont="1" applyAlignment="1">
      <alignment vertical="center" wrapText="1"/>
    </xf>
    <xf numFmtId="0" fontId="48" fillId="0" borderId="0" xfId="0" applyFont="1" applyAlignment="1">
      <alignment vertical="center" wrapText="1"/>
    </xf>
    <xf numFmtId="0" fontId="11" fillId="0" borderId="11" xfId="0" applyFont="1" applyBorder="1" applyAlignment="1">
      <alignment vertical="center" wrapText="1"/>
    </xf>
    <xf numFmtId="0" fontId="11" fillId="0" borderId="0" xfId="0" applyFont="1" applyAlignment="1">
      <alignment vertical="center"/>
    </xf>
    <xf numFmtId="0" fontId="25" fillId="0" borderId="0" xfId="0" applyFont="1" applyAlignment="1">
      <alignment horizontal="left" vertical="center" wrapText="1"/>
    </xf>
    <xf numFmtId="16" fontId="0" fillId="0" borderId="0" xfId="0" applyNumberFormat="1"/>
    <xf numFmtId="0" fontId="25" fillId="0" borderId="0" xfId="0" applyFont="1" applyAlignment="1">
      <alignment vertical="center" wrapText="1"/>
    </xf>
    <xf numFmtId="0" fontId="25" fillId="0" borderId="0" xfId="0" applyFont="1" applyAlignment="1">
      <alignment vertical="center"/>
    </xf>
    <xf numFmtId="0" fontId="0" fillId="0" borderId="10" xfId="0" applyBorder="1" applyAlignment="1">
      <alignment horizontal="left" wrapText="1"/>
    </xf>
    <xf numFmtId="0" fontId="19" fillId="0" borderId="0" xfId="0" applyFont="1" applyAlignment="1">
      <alignment horizontal="center"/>
    </xf>
    <xf numFmtId="0" fontId="41" fillId="0" borderId="0" xfId="0" applyFont="1"/>
    <xf numFmtId="0" fontId="33" fillId="5" borderId="7" xfId="0" applyFont="1" applyFill="1" applyBorder="1" applyAlignment="1">
      <alignment horizontal="left" vertical="center" wrapText="1"/>
    </xf>
    <xf numFmtId="0" fontId="33" fillId="5" borderId="6" xfId="0" applyFont="1" applyFill="1" applyBorder="1" applyAlignment="1">
      <alignment horizontal="center" vertical="center" wrapText="1"/>
    </xf>
    <xf numFmtId="0" fontId="33" fillId="5" borderId="13" xfId="0" applyFont="1" applyFill="1" applyBorder="1" applyAlignment="1">
      <alignment horizontal="center" vertical="center" wrapText="1"/>
    </xf>
    <xf numFmtId="0" fontId="33" fillId="5" borderId="8" xfId="0" applyFont="1" applyFill="1" applyBorder="1" applyAlignment="1">
      <alignment horizontal="center" vertical="center" wrapText="1"/>
    </xf>
    <xf numFmtId="0" fontId="19" fillId="0" borderId="0" xfId="0" applyFont="1" applyAlignment="1">
      <alignment wrapText="1"/>
    </xf>
    <xf numFmtId="0" fontId="41" fillId="0" borderId="0" xfId="0" applyFont="1" applyAlignment="1">
      <alignment wrapText="1"/>
    </xf>
    <xf numFmtId="0" fontId="33" fillId="0" borderId="1" xfId="0" applyFont="1" applyBorder="1" applyAlignment="1">
      <alignment vertical="center" wrapText="1"/>
    </xf>
    <xf numFmtId="0" fontId="24" fillId="0" borderId="0" xfId="0" applyFont="1" applyAlignment="1">
      <alignment vertical="center"/>
    </xf>
    <xf numFmtId="165" fontId="19" fillId="0" borderId="0" xfId="0" applyNumberFormat="1" applyFont="1"/>
    <xf numFmtId="0" fontId="42" fillId="0" borderId="0" xfId="0" applyFont="1"/>
    <xf numFmtId="0" fontId="33" fillId="5" borderId="1" xfId="0" applyFont="1" applyFill="1" applyBorder="1" applyAlignment="1">
      <alignment horizontal="center" vertical="center" wrapText="1"/>
    </xf>
    <xf numFmtId="0" fontId="29" fillId="8" borderId="1" xfId="0" applyFont="1" applyFill="1" applyBorder="1" applyAlignment="1">
      <alignment vertical="center"/>
    </xf>
    <xf numFmtId="0" fontId="33" fillId="5" borderId="7" xfId="0" applyFont="1" applyFill="1" applyBorder="1" applyAlignment="1">
      <alignment horizontal="center" vertical="center" wrapText="1"/>
    </xf>
    <xf numFmtId="0" fontId="31" fillId="0" borderId="0" xfId="0" applyFont="1"/>
    <xf numFmtId="0" fontId="28" fillId="0" borderId="0" xfId="0" applyFont="1" applyAlignment="1">
      <alignment vertical="center"/>
    </xf>
    <xf numFmtId="0" fontId="12" fillId="0" borderId="0" xfId="0" applyFont="1" applyAlignment="1">
      <alignment horizontal="center"/>
    </xf>
    <xf numFmtId="0" fontId="0" fillId="0" borderId="0" xfId="0" applyAlignment="1">
      <alignment vertical="center"/>
    </xf>
    <xf numFmtId="0" fontId="113" fillId="0" borderId="0" xfId="0" applyFont="1"/>
    <xf numFmtId="0" fontId="25" fillId="0" borderId="0" xfId="0" applyFont="1" applyAlignment="1">
      <alignment wrapText="1"/>
    </xf>
    <xf numFmtId="0" fontId="32" fillId="18" borderId="1" xfId="0" applyFont="1" applyFill="1" applyBorder="1" applyAlignment="1">
      <alignment horizontal="center" vertical="center"/>
    </xf>
    <xf numFmtId="0" fontId="32" fillId="18" borderId="1" xfId="0" applyFont="1" applyFill="1" applyBorder="1" applyAlignment="1">
      <alignment horizontal="center" vertical="center" wrapText="1"/>
    </xf>
    <xf numFmtId="0" fontId="32" fillId="18" borderId="2" xfId="0" applyFont="1" applyFill="1" applyBorder="1" applyAlignment="1">
      <alignment horizontal="center" vertical="center"/>
    </xf>
    <xf numFmtId="0" fontId="32" fillId="18" borderId="41" xfId="0" applyFont="1" applyFill="1" applyBorder="1" applyAlignment="1">
      <alignment horizontal="center" vertical="center"/>
    </xf>
    <xf numFmtId="0" fontId="32" fillId="18" borderId="68" xfId="0" applyFont="1" applyFill="1" applyBorder="1" applyAlignment="1">
      <alignment horizontal="center" vertical="center" wrapText="1"/>
    </xf>
    <xf numFmtId="0" fontId="3" fillId="0" borderId="1" xfId="0" applyFont="1" applyBorder="1" applyAlignment="1">
      <alignment vertical="center" wrapText="1"/>
    </xf>
    <xf numFmtId="44" fontId="12" fillId="0" borderId="2" xfId="0" applyNumberFormat="1" applyFont="1" applyBorder="1" applyAlignment="1">
      <alignment vertical="center" wrapText="1"/>
    </xf>
    <xf numFmtId="44" fontId="12" fillId="0" borderId="1" xfId="0" applyNumberFormat="1" applyFont="1" applyBorder="1" applyAlignment="1">
      <alignment vertical="center" wrapText="1"/>
    </xf>
    <xf numFmtId="44" fontId="59" fillId="0" borderId="68" xfId="0" applyNumberFormat="1" applyFont="1" applyBorder="1" applyAlignment="1">
      <alignment vertical="center" wrapText="1"/>
    </xf>
    <xf numFmtId="44" fontId="59" fillId="0" borderId="68" xfId="0" applyNumberFormat="1" applyFont="1" applyBorder="1" applyAlignment="1">
      <alignment horizontal="center" vertical="center" wrapText="1"/>
    </xf>
    <xf numFmtId="0" fontId="60" fillId="19" borderId="1" xfId="0" applyFont="1" applyFill="1" applyBorder="1" applyAlignment="1">
      <alignment vertical="center" wrapText="1"/>
    </xf>
    <xf numFmtId="44" fontId="60" fillId="19" borderId="1" xfId="0" applyNumberFormat="1" applyFont="1" applyFill="1" applyBorder="1" applyAlignment="1">
      <alignment vertical="center" wrapText="1"/>
    </xf>
    <xf numFmtId="44" fontId="80" fillId="19" borderId="1" xfId="0" applyNumberFormat="1" applyFont="1" applyFill="1" applyBorder="1" applyAlignment="1">
      <alignment vertical="center" wrapText="1"/>
    </xf>
    <xf numFmtId="44" fontId="60" fillId="19" borderId="2" xfId="0" applyNumberFormat="1" applyFont="1" applyFill="1" applyBorder="1" applyAlignment="1">
      <alignment vertical="center" wrapText="1"/>
    </xf>
    <xf numFmtId="44" fontId="60" fillId="19" borderId="63" xfId="0" applyNumberFormat="1" applyFont="1" applyFill="1" applyBorder="1" applyAlignment="1">
      <alignment vertical="center" wrapText="1"/>
    </xf>
    <xf numFmtId="44" fontId="60" fillId="19" borderId="35" xfId="0" applyNumberFormat="1" applyFont="1" applyFill="1" applyBorder="1" applyAlignment="1">
      <alignment vertical="center" wrapText="1"/>
    </xf>
    <xf numFmtId="44" fontId="80" fillId="19" borderId="64" xfId="0" applyNumberFormat="1" applyFont="1" applyFill="1" applyBorder="1" applyAlignment="1">
      <alignment vertical="center" wrapText="1"/>
    </xf>
    <xf numFmtId="0" fontId="76" fillId="0" borderId="0" xfId="0" applyFont="1" applyAlignment="1">
      <alignment horizontal="left"/>
    </xf>
    <xf numFmtId="0" fontId="44" fillId="20" borderId="56" xfId="0" applyFont="1" applyFill="1" applyBorder="1"/>
    <xf numFmtId="0" fontId="61" fillId="20" borderId="1" xfId="0" applyFont="1" applyFill="1" applyBorder="1" applyAlignment="1">
      <alignment horizontal="center"/>
    </xf>
    <xf numFmtId="0" fontId="25" fillId="0" borderId="37" xfId="0" applyFont="1" applyBorder="1"/>
    <xf numFmtId="9" fontId="11" fillId="0" borderId="0" xfId="1" applyFont="1" applyBorder="1" applyProtection="1"/>
    <xf numFmtId="0" fontId="11" fillId="0" borderId="37" xfId="0" applyFont="1" applyBorder="1" applyAlignment="1">
      <alignment horizontal="left" indent="1"/>
    </xf>
    <xf numFmtId="9" fontId="11" fillId="0" borderId="0" xfId="1" applyFont="1" applyFill="1" applyBorder="1" applyProtection="1"/>
    <xf numFmtId="0" fontId="25" fillId="15" borderId="57" xfId="0" applyFont="1" applyFill="1" applyBorder="1"/>
    <xf numFmtId="175" fontId="33" fillId="0" borderId="1" xfId="0" applyNumberFormat="1" applyFont="1" applyBorder="1"/>
    <xf numFmtId="9" fontId="33" fillId="11" borderId="1" xfId="1" applyFont="1" applyFill="1" applyBorder="1" applyProtection="1"/>
    <xf numFmtId="10" fontId="30" fillId="11" borderId="1" xfId="1" applyNumberFormat="1" applyFont="1" applyFill="1" applyBorder="1" applyProtection="1"/>
    <xf numFmtId="9" fontId="25" fillId="15" borderId="1" xfId="1" applyFont="1" applyFill="1" applyBorder="1" applyProtection="1"/>
    <xf numFmtId="0" fontId="44" fillId="20" borderId="41" xfId="0" applyFont="1" applyFill="1" applyBorder="1"/>
    <xf numFmtId="44" fontId="25" fillId="0" borderId="3" xfId="7" applyFont="1" applyFill="1" applyBorder="1" applyProtection="1"/>
    <xf numFmtId="0" fontId="11" fillId="11" borderId="37" xfId="0" applyFont="1" applyFill="1" applyBorder="1" applyAlignment="1">
      <alignment horizontal="left" indent="1"/>
    </xf>
    <xf numFmtId="0" fontId="30" fillId="0" borderId="21" xfId="0" applyFont="1" applyBorder="1" applyAlignment="1">
      <alignment horizontal="left" vertical="center" wrapText="1"/>
    </xf>
    <xf numFmtId="170" fontId="30" fillId="0" borderId="1" xfId="0" applyNumberFormat="1" applyFont="1" applyBorder="1"/>
    <xf numFmtId="167" fontId="25" fillId="0" borderId="1" xfId="0" applyNumberFormat="1" applyFont="1" applyBorder="1"/>
    <xf numFmtId="175" fontId="33" fillId="0" borderId="0" xfId="0" applyNumberFormat="1" applyFont="1"/>
    <xf numFmtId="0" fontId="61" fillId="20" borderId="28" xfId="0" applyFont="1" applyFill="1" applyBorder="1" applyAlignment="1">
      <alignment horizontal="center"/>
    </xf>
    <xf numFmtId="0" fontId="11" fillId="0" borderId="41" xfId="0" applyFont="1" applyBorder="1"/>
    <xf numFmtId="175" fontId="25" fillId="0" borderId="1" xfId="0" applyNumberFormat="1" applyFont="1" applyBorder="1"/>
    <xf numFmtId="175" fontId="44" fillId="0" borderId="0" xfId="0" applyNumberFormat="1" applyFont="1"/>
    <xf numFmtId="0" fontId="11" fillId="0" borderId="63" xfId="0" applyFont="1" applyBorder="1"/>
    <xf numFmtId="170" fontId="25" fillId="0" borderId="35" xfId="0" applyNumberFormat="1" applyFont="1" applyBorder="1"/>
    <xf numFmtId="9" fontId="11" fillId="0" borderId="23" xfId="0" applyNumberFormat="1" applyFont="1" applyBorder="1"/>
    <xf numFmtId="170" fontId="25" fillId="0" borderId="0" xfId="0" applyNumberFormat="1" applyFont="1"/>
    <xf numFmtId="9" fontId="11" fillId="0" borderId="0" xfId="0" applyNumberFormat="1" applyFont="1"/>
    <xf numFmtId="175" fontId="33" fillId="15" borderId="1" xfId="0" applyNumberFormat="1" applyFont="1" applyFill="1" applyBorder="1"/>
    <xf numFmtId="16" fontId="11" fillId="0" borderId="21" xfId="0" applyNumberFormat="1" applyFont="1" applyBorder="1"/>
    <xf numFmtId="0" fontId="0" fillId="0" borderId="24" xfId="0" applyBorder="1"/>
    <xf numFmtId="0" fontId="11" fillId="0" borderId="1" xfId="0" applyFont="1" applyBorder="1" applyAlignment="1">
      <alignment vertical="center" wrapText="1"/>
    </xf>
    <xf numFmtId="44" fontId="59" fillId="0" borderId="2" xfId="0" applyNumberFormat="1" applyFont="1" applyBorder="1" applyAlignment="1">
      <alignment vertical="center" wrapText="1"/>
    </xf>
    <xf numFmtId="44" fontId="59" fillId="0" borderId="1" xfId="0" applyNumberFormat="1" applyFont="1" applyBorder="1" applyAlignment="1">
      <alignment vertical="center" wrapText="1"/>
    </xf>
    <xf numFmtId="0" fontId="0" fillId="0" borderId="0" xfId="0" applyAlignment="1">
      <alignment horizontal="left" vertical="center" indent="1"/>
    </xf>
    <xf numFmtId="0" fontId="32" fillId="18" borderId="1" xfId="0" applyFont="1" applyFill="1" applyBorder="1" applyAlignment="1">
      <alignment vertical="center"/>
    </xf>
    <xf numFmtId="0" fontId="74" fillId="11" borderId="0" xfId="0" applyFont="1" applyFill="1" applyAlignment="1">
      <alignment vertical="center"/>
    </xf>
    <xf numFmtId="0" fontId="3" fillId="0" borderId="6" xfId="0" applyFont="1" applyBorder="1" applyAlignment="1">
      <alignment vertical="center" wrapText="1"/>
    </xf>
    <xf numFmtId="44" fontId="3" fillId="0" borderId="6" xfId="0" applyNumberFormat="1" applyFont="1" applyBorder="1" applyAlignment="1">
      <alignment vertical="center" wrapText="1"/>
    </xf>
    <xf numFmtId="44" fontId="12" fillId="0" borderId="6" xfId="0" applyNumberFormat="1" applyFont="1" applyBorder="1" applyAlignment="1">
      <alignment vertical="center" wrapText="1"/>
    </xf>
    <xf numFmtId="0" fontId="3" fillId="0" borderId="0" xfId="0" applyFont="1" applyAlignment="1">
      <alignment vertical="center" wrapText="1"/>
    </xf>
    <xf numFmtId="44" fontId="3" fillId="0" borderId="0" xfId="0" applyNumberFormat="1" applyFont="1" applyAlignment="1">
      <alignment vertical="center" wrapText="1"/>
    </xf>
    <xf numFmtId="44" fontId="12" fillId="0" borderId="0" xfId="0" applyNumberFormat="1" applyFont="1" applyAlignment="1">
      <alignment vertical="center" wrapText="1"/>
    </xf>
    <xf numFmtId="0" fontId="114" fillId="0" borderId="0" xfId="0" applyFont="1"/>
    <xf numFmtId="44" fontId="3" fillId="0" borderId="1" xfId="0" applyNumberFormat="1" applyFont="1" applyBorder="1" applyAlignment="1">
      <alignment vertical="center" wrapText="1"/>
    </xf>
    <xf numFmtId="44" fontId="3" fillId="2" borderId="1" xfId="0" applyNumberFormat="1" applyFont="1" applyFill="1" applyBorder="1" applyAlignment="1" applyProtection="1">
      <alignment vertical="center" wrapText="1"/>
      <protection locked="0"/>
    </xf>
    <xf numFmtId="44" fontId="18" fillId="2" borderId="1" xfId="0" applyNumberFormat="1" applyFont="1" applyFill="1" applyBorder="1" applyAlignment="1" applyProtection="1">
      <alignment vertical="center" wrapText="1"/>
      <protection locked="0"/>
    </xf>
    <xf numFmtId="44" fontId="3" fillId="2" borderId="41" xfId="0" applyNumberFormat="1" applyFont="1" applyFill="1" applyBorder="1" applyAlignment="1" applyProtection="1">
      <alignment vertical="center" wrapText="1"/>
      <protection locked="0"/>
    </xf>
    <xf numFmtId="44" fontId="3" fillId="2" borderId="41" xfId="0" applyNumberFormat="1"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protection locked="0"/>
    </xf>
    <xf numFmtId="44" fontId="3" fillId="2" borderId="6" xfId="0" applyNumberFormat="1" applyFont="1" applyFill="1" applyBorder="1" applyAlignment="1" applyProtection="1">
      <alignment vertical="center" wrapText="1"/>
      <protection locked="0"/>
    </xf>
    <xf numFmtId="44" fontId="3" fillId="2" borderId="2" xfId="0" applyNumberFormat="1" applyFont="1" applyFill="1" applyBorder="1" applyAlignment="1" applyProtection="1">
      <alignment vertical="center" wrapText="1"/>
      <protection locked="0"/>
    </xf>
    <xf numFmtId="0" fontId="29" fillId="2" borderId="15" xfId="0" applyFont="1" applyFill="1" applyBorder="1" applyProtection="1">
      <protection locked="0"/>
    </xf>
    <xf numFmtId="164" fontId="36" fillId="11" borderId="0" xfId="0" applyNumberFormat="1" applyFont="1" applyFill="1"/>
    <xf numFmtId="0" fontId="29" fillId="11" borderId="0" xfId="0" applyFont="1" applyFill="1" applyAlignment="1">
      <alignment horizontal="right"/>
    </xf>
    <xf numFmtId="0" fontId="25" fillId="5" borderId="0" xfId="0" applyFont="1" applyFill="1" applyAlignment="1">
      <alignment vertical="center" wrapText="1"/>
    </xf>
    <xf numFmtId="170" fontId="25" fillId="11" borderId="0" xfId="0" applyNumberFormat="1" applyFont="1" applyFill="1"/>
    <xf numFmtId="164" fontId="25" fillId="0" borderId="0" xfId="0" applyNumberFormat="1" applyFont="1"/>
    <xf numFmtId="0" fontId="33" fillId="11" borderId="0" xfId="0" applyFont="1" applyFill="1" applyAlignment="1">
      <alignment horizontal="right"/>
    </xf>
    <xf numFmtId="172" fontId="50" fillId="11" borderId="26" xfId="1" applyNumberFormat="1" applyFont="1" applyFill="1" applyBorder="1" applyAlignment="1" applyProtection="1">
      <alignment horizontal="center"/>
    </xf>
    <xf numFmtId="0" fontId="52" fillId="11" borderId="26" xfId="12" applyFont="1" applyFill="1" applyBorder="1" applyAlignment="1" applyProtection="1">
      <alignment horizontal="center"/>
    </xf>
    <xf numFmtId="0" fontId="52" fillId="11" borderId="27" xfId="12" applyFont="1" applyFill="1" applyBorder="1" applyAlignment="1" applyProtection="1">
      <alignment horizontal="center" wrapText="1"/>
    </xf>
    <xf numFmtId="172" fontId="0" fillId="0" borderId="0" xfId="1" applyNumberFormat="1" applyFont="1" applyFill="1" applyBorder="1" applyAlignment="1" applyProtection="1">
      <alignment horizontal="center"/>
    </xf>
    <xf numFmtId="172" fontId="0" fillId="11" borderId="0" xfId="1" applyNumberFormat="1" applyFont="1" applyFill="1" applyBorder="1" applyAlignment="1" applyProtection="1">
      <alignment horizontal="center"/>
    </xf>
    <xf numFmtId="172" fontId="50" fillId="11" borderId="23" xfId="1" applyNumberFormat="1" applyFont="1" applyFill="1" applyBorder="1" applyAlignment="1" applyProtection="1">
      <alignment horizontal="center"/>
    </xf>
    <xf numFmtId="1" fontId="20" fillId="11" borderId="0" xfId="12" applyNumberFormat="1" applyFill="1" applyAlignment="1" applyProtection="1"/>
    <xf numFmtId="44" fontId="1" fillId="0" borderId="0" xfId="7" applyFont="1" applyFill="1" applyBorder="1" applyAlignment="1" applyProtection="1">
      <alignment vertical="center"/>
    </xf>
    <xf numFmtId="172" fontId="78" fillId="0" borderId="0" xfId="1" applyNumberFormat="1" applyFont="1" applyFill="1" applyBorder="1" applyAlignment="1" applyProtection="1">
      <alignment horizontal="center" vertical="center"/>
    </xf>
    <xf numFmtId="0" fontId="29" fillId="2" borderId="1" xfId="7" applyNumberFormat="1" applyFont="1" applyFill="1" applyBorder="1" applyAlignment="1" applyProtection="1">
      <alignment vertical="center"/>
      <protection locked="0"/>
    </xf>
    <xf numFmtId="49" fontId="4" fillId="2" borderId="2" xfId="13" applyNumberFormat="1" applyFont="1" applyFill="1" applyBorder="1" applyAlignment="1" applyProtection="1">
      <alignment horizontal="center"/>
      <protection locked="0"/>
    </xf>
    <xf numFmtId="49" fontId="29" fillId="2" borderId="36" xfId="0" applyNumberFormat="1" applyFont="1" applyFill="1" applyBorder="1" applyProtection="1">
      <protection locked="0"/>
    </xf>
    <xf numFmtId="49" fontId="29" fillId="2" borderId="55" xfId="0" applyNumberFormat="1" applyFont="1" applyFill="1" applyBorder="1" applyProtection="1">
      <protection locked="0"/>
    </xf>
    <xf numFmtId="49" fontId="29" fillId="2" borderId="70" xfId="0" applyNumberFormat="1" applyFont="1" applyFill="1" applyBorder="1" applyProtection="1">
      <protection locked="0"/>
    </xf>
    <xf numFmtId="49" fontId="29" fillId="2" borderId="62" xfId="0" applyNumberFormat="1" applyFont="1" applyFill="1" applyBorder="1" applyProtection="1">
      <protection locked="0"/>
    </xf>
    <xf numFmtId="1" fontId="29" fillId="2" borderId="1" xfId="7" applyNumberFormat="1" applyFont="1" applyFill="1" applyBorder="1" applyAlignment="1" applyProtection="1">
      <alignment vertical="center"/>
      <protection locked="0"/>
    </xf>
    <xf numFmtId="49" fontId="33" fillId="2" borderId="1" xfId="7" applyNumberFormat="1" applyFont="1" applyFill="1" applyBorder="1" applyAlignment="1" applyProtection="1">
      <alignment vertical="top" wrapText="1"/>
      <protection locked="0"/>
    </xf>
    <xf numFmtId="176" fontId="29" fillId="2" borderId="1" xfId="7" applyNumberFormat="1" applyFont="1" applyFill="1" applyBorder="1" applyAlignment="1" applyProtection="1">
      <alignment horizontal="center" vertical="center"/>
      <protection locked="0"/>
    </xf>
    <xf numFmtId="1" fontId="29" fillId="2" borderId="1" xfId="0" applyNumberFormat="1" applyFont="1" applyFill="1" applyBorder="1" applyAlignment="1" applyProtection="1">
      <alignment horizontal="center" vertical="center" wrapText="1"/>
      <protection locked="0"/>
    </xf>
    <xf numFmtId="3" fontId="29" fillId="2" borderId="1" xfId="2" applyNumberFormat="1" applyFont="1" applyFill="1" applyBorder="1" applyAlignment="1" applyProtection="1">
      <alignment horizontal="center" vertical="center"/>
      <protection locked="0"/>
    </xf>
    <xf numFmtId="181" fontId="1" fillId="2" borderId="1" xfId="0" applyNumberFormat="1" applyFont="1" applyFill="1" applyBorder="1" applyAlignment="1" applyProtection="1">
      <alignment horizontal="center" vertical="center"/>
      <protection locked="0"/>
    </xf>
    <xf numFmtId="0" fontId="49" fillId="3" borderId="27" xfId="0" applyFont="1" applyFill="1" applyBorder="1" applyAlignment="1">
      <alignment horizontal="right"/>
    </xf>
    <xf numFmtId="0" fontId="49" fillId="3" borderId="21" xfId="0" applyFont="1" applyFill="1" applyBorder="1" applyAlignment="1">
      <alignment horizontal="right"/>
    </xf>
    <xf numFmtId="0" fontId="48" fillId="0" borderId="0" xfId="12" applyFont="1" applyFill="1" applyBorder="1" applyAlignment="1" applyProtection="1"/>
    <xf numFmtId="0" fontId="39" fillId="0" borderId="0" xfId="12" applyFont="1" applyFill="1" applyBorder="1" applyAlignment="1" applyProtection="1"/>
    <xf numFmtId="0" fontId="25" fillId="0" borderId="0" xfId="0" applyFont="1" applyAlignment="1">
      <alignment horizontal="left" vertical="center"/>
    </xf>
    <xf numFmtId="0" fontId="11" fillId="0" borderId="25" xfId="0" applyFont="1" applyBorder="1"/>
    <xf numFmtId="0" fontId="11" fillId="11" borderId="26" xfId="0" applyFont="1" applyFill="1" applyBorder="1"/>
    <xf numFmtId="0" fontId="11" fillId="0" borderId="22" xfId="0" applyFont="1" applyBorder="1"/>
    <xf numFmtId="0" fontId="29" fillId="0" borderId="23" xfId="0" applyFont="1" applyBorder="1" applyAlignment="1">
      <alignment horizontal="right"/>
    </xf>
    <xf numFmtId="0" fontId="39" fillId="5" borderId="43" xfId="0" applyFont="1" applyFill="1" applyBorder="1" applyAlignment="1">
      <alignment vertical="center" wrapText="1"/>
    </xf>
    <xf numFmtId="0" fontId="25" fillId="5" borderId="26" xfId="0" applyFont="1" applyFill="1" applyBorder="1" applyAlignment="1">
      <alignment horizontal="center" vertical="center" wrapText="1"/>
    </xf>
    <xf numFmtId="0" fontId="25" fillId="5" borderId="33" xfId="0" applyFont="1" applyFill="1" applyBorder="1" applyAlignment="1">
      <alignment horizontal="center" vertical="center" wrapText="1"/>
    </xf>
    <xf numFmtId="0" fontId="25" fillId="5" borderId="34" xfId="0" applyFont="1" applyFill="1" applyBorder="1" applyAlignment="1">
      <alignment horizontal="center" vertical="center" wrapText="1"/>
    </xf>
    <xf numFmtId="0" fontId="29" fillId="0" borderId="25" xfId="0" applyFont="1" applyBorder="1" applyAlignment="1">
      <alignment horizontal="left"/>
    </xf>
    <xf numFmtId="0" fontId="29" fillId="15" borderId="65" xfId="0" applyFont="1" applyFill="1" applyBorder="1" applyAlignment="1">
      <alignment horizontal="right"/>
    </xf>
    <xf numFmtId="164" fontId="29" fillId="13" borderId="58" xfId="0" applyNumberFormat="1" applyFont="1" applyFill="1" applyBorder="1"/>
    <xf numFmtId="0" fontId="29" fillId="15" borderId="41" xfId="0" applyFont="1" applyFill="1" applyBorder="1" applyAlignment="1">
      <alignment horizontal="right"/>
    </xf>
    <xf numFmtId="164" fontId="29" fillId="0" borderId="53" xfId="0" applyNumberFormat="1" applyFont="1" applyBorder="1"/>
    <xf numFmtId="164" fontId="29" fillId="13" borderId="53" xfId="0" applyNumberFormat="1" applyFont="1" applyFill="1" applyBorder="1"/>
    <xf numFmtId="164" fontId="29" fillId="11" borderId="53" xfId="0" applyNumberFormat="1" applyFont="1" applyFill="1" applyBorder="1"/>
    <xf numFmtId="164" fontId="29" fillId="13" borderId="36" xfId="0" applyNumberFormat="1" applyFont="1" applyFill="1" applyBorder="1"/>
    <xf numFmtId="0" fontId="29" fillId="11" borderId="0" xfId="0" applyFont="1" applyFill="1"/>
    <xf numFmtId="164" fontId="29" fillId="11" borderId="36" xfId="0" applyNumberFormat="1" applyFont="1" applyFill="1" applyBorder="1"/>
    <xf numFmtId="0" fontId="34" fillId="11" borderId="22" xfId="0" applyFont="1" applyFill="1" applyBorder="1" applyAlignment="1">
      <alignment horizontal="left"/>
    </xf>
    <xf numFmtId="0" fontId="33" fillId="15" borderId="63" xfId="0" applyFont="1" applyFill="1" applyBorder="1" applyAlignment="1">
      <alignment horizontal="right"/>
    </xf>
    <xf numFmtId="164" fontId="33" fillId="11" borderId="60" xfId="0" applyNumberFormat="1" applyFont="1" applyFill="1" applyBorder="1"/>
    <xf numFmtId="164" fontId="33" fillId="11" borderId="55" xfId="0" applyNumberFormat="1" applyFont="1" applyFill="1" applyBorder="1"/>
    <xf numFmtId="0" fontId="33" fillId="0" borderId="0" xfId="0" applyFont="1" applyAlignment="1">
      <alignment horizontal="right"/>
    </xf>
    <xf numFmtId="0" fontId="39" fillId="5" borderId="25" xfId="0" applyFont="1" applyFill="1" applyBorder="1" applyAlignment="1">
      <alignment vertical="center" wrapText="1"/>
    </xf>
    <xf numFmtId="0" fontId="25" fillId="5" borderId="27" xfId="0" applyFont="1" applyFill="1" applyBorder="1" applyAlignment="1">
      <alignment horizontal="center" vertical="center" wrapText="1"/>
    </xf>
    <xf numFmtId="0" fontId="18" fillId="5" borderId="22" xfId="0" applyFont="1" applyFill="1" applyBorder="1" applyAlignment="1">
      <alignment vertical="center" wrapText="1"/>
    </xf>
    <xf numFmtId="0" fontId="25" fillId="5" borderId="23" xfId="0" applyFont="1" applyFill="1" applyBorder="1" applyAlignment="1">
      <alignment vertical="center" wrapText="1"/>
    </xf>
    <xf numFmtId="0" fontId="25" fillId="5" borderId="23" xfId="0" applyFont="1" applyFill="1" applyBorder="1" applyAlignment="1">
      <alignment horizontal="center" vertical="center" wrapText="1"/>
    </xf>
    <xf numFmtId="0" fontId="25" fillId="5" borderId="24" xfId="0" applyFont="1" applyFill="1" applyBorder="1" applyAlignment="1">
      <alignment horizontal="center" vertical="center" wrapText="1"/>
    </xf>
    <xf numFmtId="0" fontId="25" fillId="11" borderId="23" xfId="0" applyFont="1" applyFill="1" applyBorder="1" applyAlignment="1">
      <alignment horizontal="center"/>
    </xf>
    <xf numFmtId="0" fontId="39" fillId="11" borderId="23" xfId="0" applyFont="1" applyFill="1" applyBorder="1" applyAlignment="1">
      <alignment horizontal="center"/>
    </xf>
    <xf numFmtId="0" fontId="33" fillId="0" borderId="38" xfId="0" applyFont="1" applyBorder="1" applyAlignment="1">
      <alignment horizontal="left"/>
    </xf>
    <xf numFmtId="0" fontId="33" fillId="15" borderId="38" xfId="0" applyFont="1" applyFill="1" applyBorder="1" applyAlignment="1">
      <alignment horizontal="right"/>
    </xf>
    <xf numFmtId="164" fontId="33" fillId="11" borderId="38" xfId="0" applyNumberFormat="1" applyFont="1" applyFill="1" applyBorder="1"/>
    <xf numFmtId="164" fontId="29" fillId="11" borderId="68" xfId="0" applyNumberFormat="1" applyFont="1" applyFill="1" applyBorder="1"/>
    <xf numFmtId="49" fontId="29" fillId="2" borderId="36" xfId="0" applyNumberFormat="1" applyFont="1" applyFill="1" applyBorder="1"/>
    <xf numFmtId="164" fontId="29" fillId="11" borderId="64" xfId="0" applyNumberFormat="1" applyFont="1" applyFill="1" applyBorder="1"/>
    <xf numFmtId="0" fontId="11" fillId="0" borderId="17" xfId="0" applyFont="1" applyBorder="1" applyAlignment="1">
      <alignment horizontal="left" wrapText="1" indent="1"/>
    </xf>
    <xf numFmtId="0" fontId="11" fillId="0" borderId="17" xfId="0" applyFont="1" applyBorder="1" applyAlignment="1">
      <alignment horizontal="left" indent="1"/>
    </xf>
    <xf numFmtId="164" fontId="29" fillId="11" borderId="73" xfId="0" applyNumberFormat="1" applyFont="1" applyFill="1" applyBorder="1"/>
    <xf numFmtId="49" fontId="11" fillId="0" borderId="0" xfId="0" applyNumberFormat="1" applyFont="1"/>
    <xf numFmtId="0" fontId="33" fillId="11" borderId="25" xfId="0" applyFont="1" applyFill="1" applyBorder="1" applyAlignment="1">
      <alignment horizontal="left"/>
    </xf>
    <xf numFmtId="49" fontId="11" fillId="11" borderId="38" xfId="0" applyNumberFormat="1" applyFont="1" applyFill="1" applyBorder="1"/>
    <xf numFmtId="0" fontId="30" fillId="11" borderId="0" xfId="0" applyFont="1" applyFill="1"/>
    <xf numFmtId="49" fontId="11" fillId="11" borderId="0" xfId="0" applyNumberFormat="1" applyFont="1" applyFill="1"/>
    <xf numFmtId="49" fontId="11" fillId="11" borderId="16" xfId="0" applyNumberFormat="1" applyFont="1" applyFill="1" applyBorder="1"/>
    <xf numFmtId="0" fontId="29" fillId="0" borderId="15" xfId="0" applyFont="1" applyBorder="1" applyAlignment="1">
      <alignment horizontal="left" indent="1"/>
    </xf>
    <xf numFmtId="164" fontId="29" fillId="11" borderId="0" xfId="0" applyNumberFormat="1" applyFont="1" applyFill="1"/>
    <xf numFmtId="0" fontId="29" fillId="0" borderId="22" xfId="0" applyFont="1" applyBorder="1" applyAlignment="1">
      <alignment horizontal="left"/>
    </xf>
    <xf numFmtId="0" fontId="33" fillId="15" borderId="55" xfId="0" applyFont="1" applyFill="1" applyBorder="1" applyAlignment="1">
      <alignment horizontal="right"/>
    </xf>
    <xf numFmtId="0" fontId="25" fillId="11" borderId="25" xfId="0" applyFont="1" applyFill="1" applyBorder="1"/>
    <xf numFmtId="164" fontId="29" fillId="11" borderId="55" xfId="0" applyNumberFormat="1" applyFont="1" applyFill="1" applyBorder="1"/>
    <xf numFmtId="164" fontId="29" fillId="13" borderId="55" xfId="0" applyNumberFormat="1" applyFont="1" applyFill="1" applyBorder="1"/>
    <xf numFmtId="0" fontId="34" fillId="11" borderId="38" xfId="0" applyFont="1" applyFill="1" applyBorder="1" applyAlignment="1">
      <alignment horizontal="left"/>
    </xf>
    <xf numFmtId="0" fontId="33" fillId="15" borderId="52" xfId="0" applyFont="1" applyFill="1" applyBorder="1" applyAlignment="1">
      <alignment horizontal="right"/>
    </xf>
    <xf numFmtId="164" fontId="33" fillId="11" borderId="71" xfId="0" applyNumberFormat="1" applyFont="1" applyFill="1" applyBorder="1"/>
    <xf numFmtId="164" fontId="33" fillId="11" borderId="49" xfId="0" applyNumberFormat="1" applyFont="1" applyFill="1" applyBorder="1"/>
    <xf numFmtId="0" fontId="34" fillId="15" borderId="52" xfId="0" applyFont="1" applyFill="1" applyBorder="1" applyAlignment="1">
      <alignment horizontal="right"/>
    </xf>
    <xf numFmtId="164" fontId="34" fillId="11" borderId="71" xfId="0" applyNumberFormat="1" applyFont="1" applyFill="1" applyBorder="1"/>
    <xf numFmtId="164" fontId="34" fillId="11" borderId="49" xfId="0" applyNumberFormat="1" applyFont="1" applyFill="1" applyBorder="1"/>
    <xf numFmtId="0" fontId="34" fillId="11" borderId="0" xfId="0" applyFont="1" applyFill="1" applyAlignment="1">
      <alignment horizontal="left"/>
    </xf>
    <xf numFmtId="164" fontId="34" fillId="11" borderId="0" xfId="0" applyNumberFormat="1" applyFont="1" applyFill="1"/>
    <xf numFmtId="164" fontId="11" fillId="11" borderId="0" xfId="0" applyNumberFormat="1" applyFont="1" applyFill="1"/>
    <xf numFmtId="171" fontId="11" fillId="11" borderId="0" xfId="0" applyNumberFormat="1" applyFont="1" applyFill="1"/>
    <xf numFmtId="44" fontId="11" fillId="11" borderId="0" xfId="0" applyNumberFormat="1" applyFont="1" applyFill="1"/>
    <xf numFmtId="0" fontId="62" fillId="0" borderId="0" xfId="0" applyFont="1" applyAlignment="1">
      <alignment horizontal="left" vertical="center" wrapText="1"/>
    </xf>
    <xf numFmtId="0" fontId="66" fillId="0" borderId="0" xfId="0" applyFont="1" applyAlignment="1">
      <alignment horizontal="left" vertical="center" wrapText="1"/>
    </xf>
    <xf numFmtId="0" fontId="63" fillId="0" borderId="0" xfId="0" applyFont="1" applyAlignment="1">
      <alignment horizontal="left" vertical="center" wrapText="1"/>
    </xf>
    <xf numFmtId="0" fontId="64" fillId="0" borderId="0" xfId="0" applyFont="1" applyAlignment="1">
      <alignment vertical="center"/>
    </xf>
    <xf numFmtId="0" fontId="67" fillId="0" borderId="0" xfId="0" applyFont="1" applyAlignment="1">
      <alignment vertical="center"/>
    </xf>
    <xf numFmtId="0" fontId="10" fillId="0" borderId="0" xfId="5" applyFill="1" applyBorder="1" applyAlignment="1" applyProtection="1">
      <alignment vertical="center"/>
    </xf>
    <xf numFmtId="0" fontId="65" fillId="0" borderId="0" xfId="0" applyFont="1" applyAlignment="1">
      <alignment vertical="center"/>
    </xf>
    <xf numFmtId="3" fontId="31" fillId="11" borderId="0" xfId="0" applyNumberFormat="1" applyFont="1" applyFill="1"/>
    <xf numFmtId="3" fontId="31" fillId="0" borderId="0" xfId="0" applyNumberFormat="1" applyFont="1"/>
    <xf numFmtId="0" fontId="11" fillId="2" borderId="18" xfId="0" applyFont="1" applyFill="1" applyBorder="1" applyAlignment="1" applyProtection="1">
      <alignment horizontal="left" indent="1"/>
      <protection locked="0"/>
    </xf>
    <xf numFmtId="0" fontId="29" fillId="2" borderId="18" xfId="0" applyFont="1" applyFill="1" applyBorder="1" applyAlignment="1" applyProtection="1">
      <alignment horizontal="left" indent="1"/>
      <protection locked="0"/>
    </xf>
    <xf numFmtId="0" fontId="29" fillId="2" borderId="15" xfId="0" applyFont="1" applyFill="1" applyBorder="1" applyAlignment="1" applyProtection="1">
      <alignment horizontal="left"/>
      <protection locked="0"/>
    </xf>
    <xf numFmtId="0" fontId="31" fillId="11" borderId="0" xfId="0" applyFont="1" applyFill="1"/>
    <xf numFmtId="170" fontId="0" fillId="0" borderId="0" xfId="0" applyNumberFormat="1"/>
    <xf numFmtId="175" fontId="0" fillId="0" borderId="0" xfId="0" applyNumberFormat="1"/>
    <xf numFmtId="44" fontId="0" fillId="0" borderId="0" xfId="7" applyFont="1"/>
    <xf numFmtId="0" fontId="88" fillId="23" borderId="0" xfId="0" applyFont="1" applyFill="1" applyAlignment="1">
      <alignment horizontal="center" vertical="center"/>
    </xf>
    <xf numFmtId="9" fontId="97" fillId="0" borderId="0" xfId="1" applyFont="1" applyFill="1" applyAlignment="1" applyProtection="1">
      <alignment horizontal="left" vertical="top"/>
    </xf>
    <xf numFmtId="44" fontId="126" fillId="0" borderId="88" xfId="7" applyFont="1" applyFill="1" applyBorder="1" applyAlignment="1" applyProtection="1">
      <alignment horizontal="center" vertical="center"/>
      <protection locked="0"/>
    </xf>
    <xf numFmtId="1" fontId="126" fillId="0" borderId="88" xfId="7" applyNumberFormat="1" applyFont="1" applyFill="1" applyBorder="1" applyAlignment="1" applyProtection="1">
      <alignment horizontal="center" vertical="center"/>
      <protection locked="0"/>
    </xf>
    <xf numFmtId="1" fontId="126" fillId="0" borderId="88" xfId="0" applyNumberFormat="1" applyFont="1" applyBorder="1" applyAlignment="1" applyProtection="1">
      <alignment horizontal="center" vertical="center"/>
      <protection locked="0"/>
    </xf>
    <xf numFmtId="164" fontId="33" fillId="11" borderId="16" xfId="0" applyNumberFormat="1" applyFont="1" applyFill="1" applyBorder="1"/>
    <xf numFmtId="164" fontId="29" fillId="2" borderId="54" xfId="0" applyNumberFormat="1" applyFont="1" applyFill="1" applyBorder="1" applyProtection="1">
      <protection locked="0"/>
    </xf>
    <xf numFmtId="0" fontId="25" fillId="11" borderId="2" xfId="0" applyFont="1" applyFill="1" applyBorder="1"/>
    <xf numFmtId="0" fontId="25" fillId="11" borderId="9" xfId="0" applyFont="1" applyFill="1" applyBorder="1"/>
    <xf numFmtId="44" fontId="25" fillId="11" borderId="1" xfId="0" applyNumberFormat="1" applyFont="1" applyFill="1" applyBorder="1"/>
    <xf numFmtId="44" fontId="29" fillId="11" borderId="1" xfId="0" applyNumberFormat="1" applyFont="1" applyFill="1" applyBorder="1"/>
    <xf numFmtId="0" fontId="25" fillId="11" borderId="2" xfId="0" applyFont="1" applyFill="1" applyBorder="1" applyAlignment="1">
      <alignment horizontal="left" indent="1"/>
    </xf>
    <xf numFmtId="44" fontId="30" fillId="11" borderId="1" xfId="0" applyNumberFormat="1" applyFont="1" applyFill="1" applyBorder="1"/>
    <xf numFmtId="0" fontId="11" fillId="11" borderId="3" xfId="0" applyFont="1" applyFill="1" applyBorder="1" applyAlignment="1">
      <alignment horizontal="left" indent="1"/>
    </xf>
    <xf numFmtId="44" fontId="79" fillId="11" borderId="1" xfId="0" applyNumberFormat="1" applyFont="1" applyFill="1" applyBorder="1"/>
    <xf numFmtId="44" fontId="28" fillId="11" borderId="1" xfId="0" applyNumberFormat="1" applyFont="1" applyFill="1" applyBorder="1"/>
    <xf numFmtId="164" fontId="29" fillId="11" borderId="72" xfId="0" applyNumberFormat="1" applyFont="1" applyFill="1" applyBorder="1"/>
    <xf numFmtId="164" fontId="29" fillId="2" borderId="62" xfId="0" applyNumberFormat="1" applyFont="1" applyFill="1" applyBorder="1" applyProtection="1">
      <protection locked="0"/>
    </xf>
    <xf numFmtId="164" fontId="29" fillId="2" borderId="21" xfId="0" applyNumberFormat="1" applyFont="1" applyFill="1" applyBorder="1"/>
    <xf numFmtId="164" fontId="33" fillId="2" borderId="62" xfId="0" applyNumberFormat="1" applyFont="1" applyFill="1" applyBorder="1"/>
    <xf numFmtId="164" fontId="29" fillId="0" borderId="91" xfId="0" applyNumberFormat="1" applyFont="1" applyBorder="1"/>
    <xf numFmtId="164" fontId="29" fillId="0" borderId="92" xfId="0" applyNumberFormat="1" applyFont="1" applyBorder="1"/>
    <xf numFmtId="164" fontId="29" fillId="0" borderId="18" xfId="0" applyNumberFormat="1" applyFont="1" applyBorder="1"/>
    <xf numFmtId="164" fontId="29" fillId="11" borderId="62" xfId="0" applyNumberFormat="1" applyFont="1" applyFill="1" applyBorder="1"/>
    <xf numFmtId="164" fontId="29" fillId="13" borderId="62" xfId="0" applyNumberFormat="1" applyFont="1" applyFill="1" applyBorder="1"/>
    <xf numFmtId="164" fontId="29" fillId="0" borderId="1" xfId="0" applyNumberFormat="1" applyFont="1" applyBorder="1" applyProtection="1">
      <protection locked="0"/>
    </xf>
    <xf numFmtId="0" fontId="33" fillId="11" borderId="0" xfId="0" applyFont="1" applyFill="1"/>
    <xf numFmtId="0" fontId="0" fillId="0" borderId="0" xfId="0" applyAlignment="1">
      <alignment horizontal="center" vertical="center"/>
    </xf>
    <xf numFmtId="0" fontId="48" fillId="11" borderId="0" xfId="0" applyFont="1" applyFill="1" applyAlignment="1">
      <alignment horizontal="center" vertical="center"/>
    </xf>
    <xf numFmtId="0" fontId="0" fillId="11" borderId="0" xfId="0" applyFill="1" applyAlignment="1">
      <alignment horizontal="center" vertical="center"/>
    </xf>
    <xf numFmtId="0" fontId="45" fillId="3" borderId="49" xfId="0" applyFont="1" applyFill="1" applyBorder="1" applyAlignment="1">
      <alignment horizontal="center" vertical="center" wrapText="1"/>
    </xf>
    <xf numFmtId="44" fontId="11" fillId="0" borderId="6" xfId="7" applyFont="1" applyBorder="1" applyProtection="1"/>
    <xf numFmtId="44" fontId="11" fillId="0" borderId="1" xfId="7" applyFont="1" applyBorder="1" applyProtection="1"/>
    <xf numFmtId="0" fontId="25" fillId="0" borderId="2" xfId="0" applyFont="1" applyBorder="1" applyAlignment="1">
      <alignment horizontal="right"/>
    </xf>
    <xf numFmtId="0" fontId="25" fillId="0" borderId="3" xfId="0" applyFont="1" applyBorder="1" applyAlignment="1">
      <alignment horizontal="right"/>
    </xf>
    <xf numFmtId="44" fontId="25" fillId="0" borderId="1" xfId="7" applyFont="1" applyBorder="1" applyProtection="1"/>
    <xf numFmtId="0" fontId="25" fillId="0" borderId="2" xfId="0" applyFont="1" applyBorder="1" applyAlignment="1">
      <alignment horizontal="left"/>
    </xf>
    <xf numFmtId="44" fontId="30" fillId="0" borderId="1" xfId="7" applyFont="1" applyBorder="1" applyProtection="1"/>
    <xf numFmtId="44" fontId="30" fillId="0" borderId="3" xfId="7" applyFont="1" applyBorder="1" applyProtection="1"/>
    <xf numFmtId="44" fontId="28" fillId="0" borderId="1" xfId="7" applyFont="1" applyBorder="1" applyProtection="1"/>
    <xf numFmtId="44" fontId="25" fillId="0" borderId="3" xfId="7" applyFont="1" applyBorder="1" applyProtection="1"/>
    <xf numFmtId="164" fontId="40" fillId="0" borderId="3" xfId="0" applyNumberFormat="1" applyFont="1" applyBorder="1" applyAlignment="1">
      <alignment horizontal="right" vertical="center"/>
    </xf>
    <xf numFmtId="0" fontId="25" fillId="11" borderId="0" xfId="0" applyFont="1" applyFill="1" applyAlignment="1">
      <alignment horizontal="left" vertical="center"/>
    </xf>
    <xf numFmtId="164" fontId="25" fillId="11" borderId="0" xfId="0" applyNumberFormat="1" applyFont="1" applyFill="1" applyAlignment="1">
      <alignment horizontal="center" vertical="center"/>
    </xf>
    <xf numFmtId="0" fontId="45" fillId="3" borderId="28" xfId="0" applyFont="1" applyFill="1" applyBorder="1" applyAlignment="1">
      <alignment horizontal="center" vertical="center" wrapText="1"/>
    </xf>
    <xf numFmtId="0" fontId="47" fillId="3" borderId="30" xfId="0" applyFont="1" applyFill="1" applyBorder="1" applyAlignment="1">
      <alignment horizontal="center" vertical="center" wrapText="1"/>
    </xf>
    <xf numFmtId="0" fontId="45" fillId="3" borderId="7" xfId="0" applyFont="1" applyFill="1" applyBorder="1" applyAlignment="1">
      <alignment horizontal="center" vertical="center" wrapText="1"/>
    </xf>
    <xf numFmtId="0" fontId="28" fillId="0" borderId="0" xfId="0" applyFont="1"/>
    <xf numFmtId="0" fontId="11" fillId="11" borderId="2" xfId="0" applyFont="1" applyFill="1" applyBorder="1" applyAlignment="1">
      <alignment horizontal="left" indent="1"/>
    </xf>
    <xf numFmtId="44" fontId="18" fillId="0" borderId="0" xfId="0" applyNumberFormat="1" applyFont="1"/>
    <xf numFmtId="9" fontId="0" fillId="0" borderId="0" xfId="1" applyFont="1" applyProtection="1"/>
    <xf numFmtId="168" fontId="0" fillId="0" borderId="0" xfId="0" applyNumberFormat="1"/>
    <xf numFmtId="0" fontId="11" fillId="11" borderId="10" xfId="0" applyFont="1" applyFill="1" applyBorder="1" applyAlignment="1">
      <alignment horizontal="left" indent="1"/>
    </xf>
    <xf numFmtId="0" fontId="25" fillId="11" borderId="28" xfId="0" applyFont="1" applyFill="1" applyBorder="1"/>
    <xf numFmtId="0" fontId="11" fillId="11" borderId="0" xfId="0" applyFont="1" applyFill="1" applyAlignment="1">
      <alignment horizontal="left" indent="1"/>
    </xf>
    <xf numFmtId="44" fontId="25" fillId="11" borderId="7" xfId="0" applyNumberFormat="1" applyFont="1" applyFill="1" applyBorder="1"/>
    <xf numFmtId="0" fontId="30" fillId="0" borderId="29" xfId="0" applyFont="1" applyBorder="1" applyAlignment="1">
      <alignment horizontal="left" indent="1"/>
    </xf>
    <xf numFmtId="0" fontId="11" fillId="0" borderId="29" xfId="0" applyFont="1" applyBorder="1" applyAlignment="1">
      <alignment horizontal="left" indent="1"/>
    </xf>
    <xf numFmtId="44" fontId="25" fillId="0" borderId="29" xfId="0" applyNumberFormat="1" applyFont="1" applyBorder="1"/>
    <xf numFmtId="44" fontId="44" fillId="0" borderId="0" xfId="0" applyNumberFormat="1" applyFont="1" applyAlignment="1">
      <alignment horizontal="center" vertical="center" wrapText="1"/>
    </xf>
    <xf numFmtId="44" fontId="44" fillId="11" borderId="0" xfId="0" applyNumberFormat="1" applyFont="1" applyFill="1" applyAlignment="1">
      <alignment horizontal="center" vertical="center" wrapText="1"/>
    </xf>
    <xf numFmtId="0" fontId="48" fillId="3" borderId="43" xfId="0" applyFont="1" applyFill="1" applyBorder="1" applyAlignment="1">
      <alignment horizontal="left" vertical="center"/>
    </xf>
    <xf numFmtId="0" fontId="48" fillId="3" borderId="33" xfId="0" applyFont="1" applyFill="1" applyBorder="1" applyAlignment="1">
      <alignment horizontal="left" vertical="center"/>
    </xf>
    <xf numFmtId="0" fontId="48" fillId="0" borderId="0" xfId="0" applyFont="1" applyAlignment="1">
      <alignment horizontal="center"/>
    </xf>
    <xf numFmtId="0" fontId="46" fillId="3" borderId="1" xfId="0" applyFont="1" applyFill="1" applyBorder="1" applyAlignment="1">
      <alignment horizontal="center" vertical="top"/>
    </xf>
    <xf numFmtId="175" fontId="11" fillId="0" borderId="1" xfId="0" applyNumberFormat="1" applyFont="1" applyBorder="1" applyAlignment="1">
      <alignment vertical="top" wrapText="1"/>
    </xf>
    <xf numFmtId="0" fontId="78" fillId="0" borderId="0" xfId="0" applyFont="1"/>
    <xf numFmtId="164" fontId="0" fillId="0" borderId="0" xfId="0" applyNumberFormat="1"/>
    <xf numFmtId="175" fontId="25" fillId="0" borderId="1" xfId="0" applyNumberFormat="1" applyFont="1" applyBorder="1" applyAlignment="1">
      <alignment vertical="top" wrapText="1"/>
    </xf>
    <xf numFmtId="0" fontId="45" fillId="3" borderId="25" xfId="0" applyFont="1" applyFill="1" applyBorder="1" applyAlignment="1">
      <alignment horizontal="left" vertical="center"/>
    </xf>
    <xf numFmtId="0" fontId="45" fillId="3" borderId="26" xfId="0" applyFont="1" applyFill="1" applyBorder="1" applyAlignment="1">
      <alignment horizontal="center" vertical="center"/>
    </xf>
    <xf numFmtId="0" fontId="45" fillId="3" borderId="27" xfId="0" applyFont="1" applyFill="1" applyBorder="1" applyAlignment="1">
      <alignment horizontal="center" vertical="center"/>
    </xf>
    <xf numFmtId="0" fontId="25" fillId="10" borderId="44" xfId="0" applyFont="1" applyFill="1" applyBorder="1" applyAlignment="1">
      <alignment vertical="top" wrapText="1"/>
    </xf>
    <xf numFmtId="0" fontId="25" fillId="10" borderId="19" xfId="0" applyFont="1" applyFill="1" applyBorder="1" applyAlignment="1">
      <alignment vertical="top" wrapText="1"/>
    </xf>
    <xf numFmtId="168" fontId="25" fillId="10" borderId="20" xfId="7" applyNumberFormat="1" applyFont="1" applyFill="1" applyBorder="1" applyAlignment="1" applyProtection="1">
      <alignment horizontal="left" vertical="top" wrapText="1"/>
    </xf>
    <xf numFmtId="0" fontId="11" fillId="0" borderId="15" xfId="0" applyFont="1" applyBorder="1" applyAlignment="1">
      <alignment vertical="center" wrapText="1"/>
    </xf>
    <xf numFmtId="164" fontId="11" fillId="0" borderId="0" xfId="0" applyNumberFormat="1" applyFont="1" applyAlignment="1">
      <alignment horizontal="left" vertical="center" wrapText="1"/>
    </xf>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25" fillId="10" borderId="15" xfId="0" applyFont="1" applyFill="1" applyBorder="1" applyAlignment="1">
      <alignment vertical="top" wrapText="1"/>
    </xf>
    <xf numFmtId="0" fontId="11" fillId="10" borderId="0" xfId="0" applyFont="1" applyFill="1" applyAlignment="1">
      <alignment vertical="top"/>
    </xf>
    <xf numFmtId="44" fontId="11" fillId="10" borderId="21" xfId="7" applyFont="1" applyFill="1" applyBorder="1" applyAlignment="1" applyProtection="1">
      <alignment horizontal="right" vertical="center" wrapText="1"/>
    </xf>
    <xf numFmtId="164" fontId="11" fillId="0" borderId="15" xfId="0" applyNumberFormat="1" applyFont="1" applyBorder="1" applyAlignment="1">
      <alignment horizontal="left" vertical="center" wrapText="1"/>
    </xf>
    <xf numFmtId="164" fontId="11" fillId="0" borderId="0" xfId="0" applyNumberFormat="1" applyFont="1" applyAlignment="1">
      <alignment horizontal="left" vertical="top" wrapText="1"/>
    </xf>
    <xf numFmtId="164" fontId="11" fillId="0" borderId="21" xfId="0" applyNumberFormat="1" applyFont="1" applyBorder="1" applyAlignment="1">
      <alignment horizontal="left" vertical="top" wrapText="1"/>
    </xf>
    <xf numFmtId="164" fontId="11" fillId="0" borderId="15" xfId="0" applyNumberFormat="1" applyFont="1" applyBorder="1"/>
    <xf numFmtId="164" fontId="11" fillId="0" borderId="21" xfId="0" applyNumberFormat="1" applyFont="1" applyBorder="1" applyAlignment="1">
      <alignment horizontal="left" wrapText="1"/>
    </xf>
    <xf numFmtId="164" fontId="11" fillId="0" borderId="45" xfId="0" applyNumberFormat="1" applyFont="1" applyBorder="1" applyAlignment="1">
      <alignment vertical="top"/>
    </xf>
    <xf numFmtId="164" fontId="11" fillId="0" borderId="14" xfId="0" applyNumberFormat="1" applyFont="1" applyBorder="1" applyAlignment="1">
      <alignment vertical="top"/>
    </xf>
    <xf numFmtId="164" fontId="11" fillId="0" borderId="14" xfId="0" applyNumberFormat="1" applyFont="1" applyBorder="1" applyAlignment="1">
      <alignment horizontal="left" vertical="top" wrapText="1"/>
    </xf>
    <xf numFmtId="164" fontId="11" fillId="0" borderId="32" xfId="0" applyNumberFormat="1" applyFont="1" applyBorder="1" applyAlignment="1">
      <alignment vertical="top"/>
    </xf>
    <xf numFmtId="0" fontId="25" fillId="10" borderId="15" xfId="0" applyFont="1" applyFill="1" applyBorder="1" applyAlignment="1">
      <alignment vertical="top"/>
    </xf>
    <xf numFmtId="0" fontId="11" fillId="10" borderId="0" xfId="0" applyFont="1" applyFill="1" applyAlignment="1">
      <alignment horizontal="left" vertical="top"/>
    </xf>
    <xf numFmtId="0" fontId="11" fillId="10" borderId="0" xfId="0" applyFont="1" applyFill="1" applyAlignment="1">
      <alignment horizontal="left" vertical="center" wrapText="1"/>
    </xf>
    <xf numFmtId="175" fontId="11" fillId="10" borderId="21" xfId="0" applyNumberFormat="1" applyFont="1" applyFill="1" applyBorder="1" applyAlignment="1">
      <alignment vertical="top" wrapText="1"/>
    </xf>
    <xf numFmtId="164" fontId="11" fillId="0" borderId="15" xfId="0" applyNumberFormat="1" applyFont="1" applyBorder="1" applyAlignment="1">
      <alignment horizontal="left" vertical="top" indent="1"/>
    </xf>
    <xf numFmtId="0" fontId="0" fillId="0" borderId="21" xfId="0" applyBorder="1" applyAlignment="1">
      <alignment horizontal="left"/>
    </xf>
    <xf numFmtId="164" fontId="11" fillId="0" borderId="15" xfId="0" applyNumberFormat="1" applyFont="1" applyBorder="1" applyAlignment="1">
      <alignment horizontal="left" vertical="center" indent="1"/>
    </xf>
    <xf numFmtId="164" fontId="11" fillId="0" borderId="15" xfId="0" applyNumberFormat="1" applyFont="1" applyBorder="1" applyAlignment="1">
      <alignment vertical="top"/>
    </xf>
    <xf numFmtId="164" fontId="29" fillId="0" borderId="45" xfId="0" applyNumberFormat="1" applyFont="1" applyBorder="1" applyAlignment="1">
      <alignment horizontal="left" vertical="top" indent="1"/>
    </xf>
    <xf numFmtId="164" fontId="29" fillId="0" borderId="14" xfId="0" applyNumberFormat="1" applyFont="1" applyBorder="1" applyAlignment="1">
      <alignment horizontal="left" vertical="top" indent="1"/>
    </xf>
    <xf numFmtId="0" fontId="0" fillId="0" borderId="32" xfId="0" applyBorder="1" applyAlignment="1">
      <alignment horizontal="left"/>
    </xf>
    <xf numFmtId="0" fontId="11" fillId="10" borderId="0" xfId="0" applyFont="1" applyFill="1" applyAlignment="1">
      <alignment horizontal="left" vertical="top" wrapText="1"/>
    </xf>
    <xf numFmtId="164" fontId="11" fillId="0" borderId="15" xfId="0" applyNumberFormat="1" applyFont="1" applyBorder="1" applyAlignment="1">
      <alignment horizontal="left" vertical="center" wrapText="1" indent="1"/>
    </xf>
    <xf numFmtId="164" fontId="11" fillId="0" borderId="21" xfId="0" applyNumberFormat="1" applyFont="1" applyBorder="1" applyAlignment="1">
      <alignment horizontal="left" vertical="center" wrapText="1"/>
    </xf>
    <xf numFmtId="164" fontId="11" fillId="0" borderId="45" xfId="0" applyNumberFormat="1" applyFont="1" applyBorder="1" applyAlignment="1">
      <alignment horizontal="left" vertical="top" indent="1"/>
    </xf>
    <xf numFmtId="164" fontId="11" fillId="0" borderId="14" xfId="0" applyNumberFormat="1" applyFont="1" applyBorder="1" applyAlignment="1">
      <alignment horizontal="left" vertical="center" wrapText="1"/>
    </xf>
    <xf numFmtId="164" fontId="11" fillId="0" borderId="32" xfId="0" applyNumberFormat="1" applyFont="1" applyBorder="1" applyAlignment="1">
      <alignment horizontal="left" vertical="center" wrapText="1"/>
    </xf>
    <xf numFmtId="0" fontId="25" fillId="2" borderId="43" xfId="0" applyFont="1" applyFill="1" applyBorder="1" applyAlignment="1">
      <alignment horizontal="left" vertical="center" wrapText="1"/>
    </xf>
    <xf numFmtId="0" fontId="25" fillId="2" borderId="33" xfId="0" applyFont="1" applyFill="1" applyBorder="1" applyAlignment="1">
      <alignment horizontal="left" vertical="center"/>
    </xf>
    <xf numFmtId="0" fontId="25" fillId="2" borderId="33" xfId="0" applyFont="1" applyFill="1" applyBorder="1" applyAlignment="1">
      <alignment horizontal="left" vertical="center" wrapText="1"/>
    </xf>
    <xf numFmtId="164" fontId="25" fillId="2" borderId="34" xfId="0" applyNumberFormat="1" applyFont="1" applyFill="1" applyBorder="1" applyAlignment="1">
      <alignment vertical="center" wrapText="1"/>
    </xf>
    <xf numFmtId="0" fontId="11" fillId="0" borderId="0" xfId="0" applyFont="1" applyAlignment="1">
      <alignment vertical="top" wrapText="1"/>
    </xf>
    <xf numFmtId="164" fontId="11" fillId="0" borderId="0" xfId="0" applyNumberFormat="1" applyFont="1" applyAlignment="1">
      <alignment vertical="top" wrapText="1"/>
    </xf>
    <xf numFmtId="0" fontId="25" fillId="14" borderId="43" xfId="0" applyFont="1" applyFill="1" applyBorder="1" applyAlignment="1">
      <alignment vertical="center"/>
    </xf>
    <xf numFmtId="0" fontId="25" fillId="14" borderId="33" xfId="0" applyFont="1" applyFill="1" applyBorder="1" applyAlignment="1">
      <alignment vertical="center"/>
    </xf>
    <xf numFmtId="175" fontId="39" fillId="14" borderId="34" xfId="0" applyNumberFormat="1" applyFont="1" applyFill="1" applyBorder="1" applyAlignment="1">
      <alignment horizontal="right" vertical="center" wrapText="1"/>
    </xf>
    <xf numFmtId="0" fontId="48" fillId="3" borderId="34" xfId="0" applyFont="1" applyFill="1" applyBorder="1" applyAlignment="1">
      <alignment horizontal="left" vertical="center"/>
    </xf>
    <xf numFmtId="0" fontId="48" fillId="11" borderId="0" xfId="0" applyFont="1" applyFill="1" applyAlignment="1">
      <alignment horizontal="center"/>
    </xf>
    <xf numFmtId="0" fontId="58" fillId="5" borderId="43" xfId="0" applyFont="1" applyFill="1" applyBorder="1" applyAlignment="1">
      <alignment vertical="center" wrapText="1"/>
    </xf>
    <xf numFmtId="0" fontId="58" fillId="5" borderId="33" xfId="0" applyFont="1" applyFill="1" applyBorder="1" applyAlignment="1">
      <alignment vertical="center" wrapText="1"/>
    </xf>
    <xf numFmtId="0" fontId="58" fillId="5" borderId="34" xfId="0" applyFont="1" applyFill="1" applyBorder="1" applyAlignment="1">
      <alignment vertical="center" wrapText="1"/>
    </xf>
    <xf numFmtId="0" fontId="44" fillId="20" borderId="0" xfId="0" applyFont="1" applyFill="1"/>
    <xf numFmtId="175" fontId="33" fillId="0" borderId="6" xfId="0" applyNumberFormat="1" applyFont="1" applyBorder="1"/>
    <xf numFmtId="9" fontId="11" fillId="0" borderId="1" xfId="1" applyFont="1" applyBorder="1" applyProtection="1"/>
    <xf numFmtId="0" fontId="11" fillId="0" borderId="46" xfId="0" applyFont="1" applyBorder="1" applyAlignment="1">
      <alignment horizontal="left" indent="1"/>
    </xf>
    <xf numFmtId="175" fontId="29" fillId="0" borderId="1" xfId="0" applyNumberFormat="1" applyFont="1" applyBorder="1"/>
    <xf numFmtId="10" fontId="11" fillId="0" borderId="1" xfId="1" applyNumberFormat="1" applyFont="1" applyBorder="1" applyProtection="1"/>
    <xf numFmtId="9" fontId="11" fillId="0" borderId="6" xfId="1" applyFont="1" applyBorder="1" applyProtection="1"/>
    <xf numFmtId="9" fontId="11" fillId="15" borderId="1" xfId="1" applyFont="1" applyFill="1" applyBorder="1" applyProtection="1"/>
    <xf numFmtId="9" fontId="11" fillId="0" borderId="21" xfId="1" applyFont="1" applyFill="1" applyBorder="1" applyProtection="1"/>
    <xf numFmtId="175" fontId="33" fillId="11" borderId="1" xfId="0" applyNumberFormat="1" applyFont="1" applyFill="1" applyBorder="1"/>
    <xf numFmtId="0" fontId="30" fillId="0" borderId="21" xfId="0" applyFont="1" applyBorder="1" applyAlignment="1">
      <alignment horizontal="left" vertical="top" wrapText="1"/>
    </xf>
    <xf numFmtId="175" fontId="74" fillId="15" borderId="1" xfId="0" applyNumberFormat="1" applyFont="1" applyFill="1" applyBorder="1"/>
    <xf numFmtId="43" fontId="11" fillId="0" borderId="0" xfId="13" applyFont="1" applyFill="1" applyBorder="1" applyProtection="1"/>
    <xf numFmtId="0" fontId="44" fillId="20" borderId="25" xfId="0" applyFont="1" applyFill="1" applyBorder="1"/>
    <xf numFmtId="44" fontId="11" fillId="0" borderId="0" xfId="7" applyFont="1" applyBorder="1" applyProtection="1"/>
    <xf numFmtId="0" fontId="32" fillId="20" borderId="22" xfId="0" applyFont="1" applyFill="1" applyBorder="1"/>
    <xf numFmtId="0" fontId="25" fillId="0" borderId="41" xfId="0" applyFont="1" applyBorder="1" applyAlignment="1">
      <alignment horizontal="left"/>
    </xf>
    <xf numFmtId="44" fontId="25" fillId="0" borderId="1" xfId="7" applyFont="1" applyFill="1" applyBorder="1" applyProtection="1"/>
    <xf numFmtId="0" fontId="11" fillId="0" borderId="41" xfId="0" applyFont="1" applyBorder="1" applyAlignment="1">
      <alignment horizontal="left" indent="1"/>
    </xf>
    <xf numFmtId="175" fontId="11" fillId="0" borderId="1" xfId="0" applyNumberFormat="1" applyFont="1" applyBorder="1"/>
    <xf numFmtId="44" fontId="11" fillId="0" borderId="0" xfId="7" applyFont="1" applyFill="1" applyBorder="1" applyProtection="1"/>
    <xf numFmtId="170" fontId="11" fillId="0" borderId="21" xfId="0" applyNumberFormat="1" applyFont="1" applyBorder="1"/>
    <xf numFmtId="0" fontId="11" fillId="0" borderId="41" xfId="0" applyFont="1" applyBorder="1" applyAlignment="1">
      <alignment horizontal="left"/>
    </xf>
    <xf numFmtId="0" fontId="25" fillId="0" borderId="47" xfId="0" applyFont="1" applyBorder="1" applyAlignment="1">
      <alignment horizontal="left" indent="1"/>
    </xf>
    <xf numFmtId="175" fontId="25" fillId="0" borderId="48" xfId="0" applyNumberFormat="1" applyFont="1" applyBorder="1"/>
    <xf numFmtId="175" fontId="11" fillId="0" borderId="6" xfId="0" applyNumberFormat="1" applyFont="1" applyBorder="1"/>
    <xf numFmtId="0" fontId="28" fillId="0" borderId="22" xfId="0" applyFont="1" applyBorder="1"/>
    <xf numFmtId="0" fontId="11" fillId="0" borderId="23" xfId="0" applyFont="1" applyBorder="1"/>
    <xf numFmtId="44" fontId="11" fillId="0" borderId="23" xfId="7" applyFont="1" applyBorder="1" applyProtection="1"/>
    <xf numFmtId="0" fontId="110" fillId="0" borderId="15" xfId="0" applyFont="1" applyBorder="1" applyAlignment="1">
      <alignment horizontal="center"/>
    </xf>
    <xf numFmtId="0" fontId="110" fillId="0" borderId="0" xfId="0" applyFont="1" applyAlignment="1">
      <alignment horizontal="center"/>
    </xf>
    <xf numFmtId="0" fontId="110" fillId="0" borderId="21" xfId="0" applyFont="1" applyBorder="1" applyAlignment="1">
      <alignment horizontal="center"/>
    </xf>
    <xf numFmtId="0" fontId="73" fillId="0" borderId="0" xfId="0" applyFont="1" applyAlignment="1">
      <alignment horizontal="center"/>
    </xf>
    <xf numFmtId="44" fontId="18" fillId="0" borderId="0" xfId="7" applyFont="1" applyFill="1" applyProtection="1"/>
    <xf numFmtId="44" fontId="0" fillId="0" borderId="0" xfId="7" applyFont="1" applyFill="1" applyProtection="1"/>
    <xf numFmtId="0" fontId="18" fillId="0" borderId="40" xfId="0" applyFont="1" applyBorder="1" applyAlignment="1">
      <alignment horizontal="center" vertical="center" wrapText="1"/>
    </xf>
    <xf numFmtId="0" fontId="27" fillId="0" borderId="40" xfId="0" applyFont="1" applyBorder="1" applyAlignment="1">
      <alignment horizontal="center" vertical="center" wrapText="1"/>
    </xf>
    <xf numFmtId="0" fontId="0" fillId="0" borderId="40" xfId="0" applyBorder="1" applyAlignment="1">
      <alignment wrapText="1"/>
    </xf>
    <xf numFmtId="8" fontId="0" fillId="0" borderId="40" xfId="0" applyNumberFormat="1" applyBorder="1" applyAlignment="1">
      <alignment wrapText="1"/>
    </xf>
    <xf numFmtId="8" fontId="0" fillId="11" borderId="40" xfId="0" applyNumberFormat="1" applyFill="1" applyBorder="1" applyAlignment="1">
      <alignment wrapText="1"/>
    </xf>
    <xf numFmtId="44" fontId="77" fillId="21" borderId="39" xfId="7" applyFont="1" applyFill="1" applyBorder="1" applyAlignment="1" applyProtection="1">
      <alignment vertical="top"/>
    </xf>
    <xf numFmtId="44" fontId="18" fillId="0" borderId="40" xfId="7" applyFont="1" applyBorder="1" applyAlignment="1" applyProtection="1">
      <alignment wrapText="1"/>
    </xf>
    <xf numFmtId="8" fontId="18" fillId="0" borderId="40" xfId="7" applyNumberFormat="1" applyFont="1" applyFill="1" applyBorder="1" applyAlignment="1" applyProtection="1">
      <alignment wrapText="1"/>
    </xf>
    <xf numFmtId="44" fontId="18" fillId="0" borderId="0" xfId="7" applyFont="1" applyBorder="1" applyAlignment="1" applyProtection="1">
      <alignment wrapText="1"/>
    </xf>
    <xf numFmtId="0" fontId="45" fillId="0" borderId="0" xfId="0" applyFont="1" applyAlignment="1">
      <alignment horizontal="center"/>
    </xf>
    <xf numFmtId="8" fontId="18" fillId="0" borderId="40" xfId="0" applyNumberFormat="1" applyFont="1" applyBorder="1" applyAlignment="1">
      <alignment wrapText="1"/>
    </xf>
    <xf numFmtId="44" fontId="18" fillId="0" borderId="0" xfId="7" applyFont="1" applyProtection="1"/>
    <xf numFmtId="0" fontId="18" fillId="0" borderId="51" xfId="0" applyFont="1" applyBorder="1" applyAlignment="1">
      <alignment horizontal="center" vertical="center" wrapText="1"/>
    </xf>
    <xf numFmtId="0" fontId="0" fillId="0" borderId="38" xfId="0" applyBorder="1"/>
    <xf numFmtId="0" fontId="0" fillId="0" borderId="50" xfId="0" applyBorder="1" applyAlignment="1">
      <alignment wrapText="1"/>
    </xf>
    <xf numFmtId="0" fontId="24" fillId="0" borderId="0" xfId="0" applyFont="1"/>
    <xf numFmtId="0" fontId="0" fillId="0" borderId="18" xfId="0" applyBorder="1"/>
    <xf numFmtId="0" fontId="26" fillId="0" borderId="0" xfId="0" applyFont="1" applyAlignment="1">
      <alignment vertical="center"/>
    </xf>
    <xf numFmtId="0" fontId="16" fillId="0" borderId="0" xfId="0" applyFont="1" applyAlignment="1">
      <alignment vertical="center" wrapText="1"/>
    </xf>
    <xf numFmtId="0" fontId="44" fillId="20" borderId="43" xfId="0" applyFont="1" applyFill="1" applyBorder="1" applyAlignment="1">
      <alignment horizontal="center" vertical="center"/>
    </xf>
    <xf numFmtId="0" fontId="44" fillId="20" borderId="82" xfId="0" applyFont="1" applyFill="1" applyBorder="1" applyAlignment="1">
      <alignment horizontal="center" vertical="center"/>
    </xf>
    <xf numFmtId="0" fontId="44" fillId="20" borderId="33" xfId="0" applyFont="1" applyFill="1" applyBorder="1" applyAlignment="1">
      <alignment horizontal="center" vertical="center"/>
    </xf>
    <xf numFmtId="0" fontId="44" fillId="20" borderId="38" xfId="0" applyFont="1" applyFill="1" applyBorder="1" applyAlignment="1">
      <alignment horizontal="center" vertical="center"/>
    </xf>
    <xf numFmtId="0" fontId="70" fillId="0" borderId="15" xfId="0" applyFont="1" applyBorder="1" applyAlignment="1">
      <alignment vertical="center"/>
    </xf>
    <xf numFmtId="0" fontId="69" fillId="13" borderId="15" xfId="0" applyFont="1" applyFill="1" applyBorder="1" applyAlignment="1">
      <alignment vertical="center" wrapText="1"/>
    </xf>
    <xf numFmtId="0" fontId="69" fillId="13" borderId="17" xfId="0" applyFont="1" applyFill="1" applyBorder="1" applyAlignment="1">
      <alignment vertical="center" wrapText="1"/>
    </xf>
    <xf numFmtId="0" fontId="69" fillId="13" borderId="0" xfId="0" applyFont="1" applyFill="1" applyAlignment="1">
      <alignment vertical="center" wrapText="1"/>
    </xf>
    <xf numFmtId="0" fontId="11" fillId="13" borderId="17" xfId="0" applyFont="1" applyFill="1" applyBorder="1" applyAlignment="1">
      <alignment vertical="center" wrapText="1"/>
    </xf>
    <xf numFmtId="0" fontId="69" fillId="0" borderId="15" xfId="0" applyFont="1" applyBorder="1" applyAlignment="1">
      <alignment vertical="center"/>
    </xf>
    <xf numFmtId="44" fontId="69" fillId="0" borderId="42" xfId="7" applyFont="1" applyBorder="1" applyAlignment="1" applyProtection="1">
      <alignment vertical="center"/>
    </xf>
    <xf numFmtId="44" fontId="69" fillId="0" borderId="36" xfId="7" applyFont="1" applyBorder="1" applyAlignment="1" applyProtection="1">
      <alignment vertical="center"/>
    </xf>
    <xf numFmtId="44" fontId="69" fillId="0" borderId="9" xfId="0" applyNumberFormat="1" applyFont="1" applyBorder="1" applyAlignment="1">
      <alignment vertical="center"/>
    </xf>
    <xf numFmtId="0" fontId="11" fillId="13" borderId="36" xfId="0" applyFont="1" applyFill="1" applyBorder="1" applyAlignment="1">
      <alignment vertical="center" wrapText="1"/>
    </xf>
    <xf numFmtId="0" fontId="69" fillId="13" borderId="36" xfId="0" applyFont="1" applyFill="1" applyBorder="1" applyAlignment="1">
      <alignment vertical="center"/>
    </xf>
    <xf numFmtId="0" fontId="68" fillId="0" borderId="22" xfId="0" applyFont="1" applyBorder="1" applyAlignment="1">
      <alignment vertical="center"/>
    </xf>
    <xf numFmtId="44" fontId="68" fillId="0" borderId="22" xfId="7" applyFont="1" applyBorder="1" applyAlignment="1" applyProtection="1">
      <alignment vertical="center"/>
    </xf>
    <xf numFmtId="44" fontId="68" fillId="0" borderId="18" xfId="7" applyFont="1" applyBorder="1" applyAlignment="1" applyProtection="1">
      <alignment vertical="center"/>
    </xf>
    <xf numFmtId="44" fontId="68" fillId="0" borderId="23" xfId="7" applyFont="1" applyBorder="1" applyAlignment="1" applyProtection="1">
      <alignment vertical="center"/>
    </xf>
    <xf numFmtId="0" fontId="69" fillId="0" borderId="38" xfId="0" applyFont="1" applyBorder="1" applyAlignment="1">
      <alignment vertical="center"/>
    </xf>
    <xf numFmtId="44" fontId="68" fillId="0" borderId="33" xfId="0" applyNumberFormat="1" applyFont="1" applyBorder="1" applyAlignment="1">
      <alignment vertical="center"/>
    </xf>
    <xf numFmtId="44" fontId="68" fillId="0" borderId="38" xfId="0" applyNumberFormat="1" applyFont="1" applyBorder="1" applyAlignment="1">
      <alignment vertical="center"/>
    </xf>
    <xf numFmtId="0" fontId="69" fillId="13" borderId="38" xfId="0" applyFont="1" applyFill="1" applyBorder="1" applyAlignment="1">
      <alignment vertical="center"/>
    </xf>
    <xf numFmtId="0" fontId="69" fillId="13" borderId="15" xfId="0" applyFont="1" applyFill="1" applyBorder="1" applyAlignment="1">
      <alignment vertical="center"/>
    </xf>
    <xf numFmtId="0" fontId="69" fillId="13" borderId="17" xfId="0" applyFont="1" applyFill="1" applyBorder="1" applyAlignment="1">
      <alignment vertical="center"/>
    </xf>
    <xf numFmtId="0" fontId="69" fillId="13" borderId="0" xfId="0" applyFont="1" applyFill="1" applyAlignment="1">
      <alignment vertical="center"/>
    </xf>
    <xf numFmtId="44" fontId="69" fillId="0" borderId="42" xfId="0" applyNumberFormat="1" applyFont="1" applyBorder="1" applyAlignment="1">
      <alignment vertical="center"/>
    </xf>
    <xf numFmtId="44" fontId="69" fillId="0" borderId="36" xfId="0" applyNumberFormat="1" applyFont="1" applyBorder="1" applyAlignment="1">
      <alignment vertical="center"/>
    </xf>
    <xf numFmtId="44" fontId="69" fillId="0" borderId="42" xfId="7" applyFont="1" applyFill="1" applyBorder="1" applyAlignment="1" applyProtection="1">
      <alignment vertical="center"/>
    </xf>
    <xf numFmtId="44" fontId="69" fillId="0" borderId="36" xfId="7" applyFont="1" applyFill="1" applyBorder="1" applyAlignment="1" applyProtection="1">
      <alignment vertical="center"/>
    </xf>
    <xf numFmtId="44" fontId="69" fillId="0" borderId="9" xfId="7" applyFont="1" applyFill="1" applyBorder="1" applyAlignment="1" applyProtection="1">
      <alignment vertical="center"/>
    </xf>
    <xf numFmtId="44" fontId="11" fillId="0" borderId="36" xfId="7" applyFont="1" applyFill="1" applyBorder="1" applyAlignment="1" applyProtection="1">
      <alignment vertical="center" wrapText="1"/>
    </xf>
    <xf numFmtId="0" fontId="70" fillId="0" borderId="25" xfId="0" applyFont="1" applyBorder="1" applyAlignment="1">
      <alignment vertical="center"/>
    </xf>
    <xf numFmtId="0" fontId="69" fillId="13" borderId="25" xfId="0" applyFont="1" applyFill="1" applyBorder="1" applyAlignment="1">
      <alignment vertical="center"/>
    </xf>
    <xf numFmtId="0" fontId="69" fillId="13" borderId="16" xfId="0" applyFont="1" applyFill="1" applyBorder="1" applyAlignment="1">
      <alignment vertical="center"/>
    </xf>
    <xf numFmtId="0" fontId="69" fillId="13" borderId="26" xfId="0" applyFont="1" applyFill="1" applyBorder="1" applyAlignment="1">
      <alignment vertical="center"/>
    </xf>
    <xf numFmtId="0" fontId="11" fillId="13" borderId="16" xfId="0" applyFont="1" applyFill="1" applyBorder="1" applyAlignment="1">
      <alignment vertical="center" wrapText="1"/>
    </xf>
    <xf numFmtId="0" fontId="71" fillId="0" borderId="0" xfId="0" applyFont="1" applyAlignment="1">
      <alignment vertical="center"/>
    </xf>
    <xf numFmtId="0" fontId="25" fillId="0" borderId="22" xfId="0" applyFont="1" applyBorder="1"/>
    <xf numFmtId="44" fontId="25" fillId="0" borderId="22" xfId="0" applyNumberFormat="1" applyFont="1" applyBorder="1"/>
    <xf numFmtId="44" fontId="25" fillId="0" borderId="18" xfId="0" applyNumberFormat="1" applyFont="1" applyBorder="1"/>
    <xf numFmtId="0" fontId="69" fillId="2" borderId="15" xfId="0" applyFont="1" applyFill="1" applyBorder="1" applyAlignment="1" applyProtection="1">
      <alignment vertical="center"/>
      <protection locked="0"/>
    </xf>
    <xf numFmtId="9" fontId="2" fillId="0" borderId="0" xfId="1" applyFont="1" applyFill="1" applyBorder="1" applyAlignment="1" applyProtection="1">
      <alignment horizontal="center" wrapText="1"/>
    </xf>
    <xf numFmtId="10" fontId="1" fillId="0" borderId="0" xfId="1" applyNumberFormat="1" applyFont="1" applyFill="1" applyBorder="1" applyAlignment="1" applyProtection="1">
      <alignment horizontal="center" vertical="center"/>
    </xf>
    <xf numFmtId="9" fontId="1" fillId="0" borderId="0" xfId="1" applyFont="1" applyFill="1" applyBorder="1" applyAlignment="1" applyProtection="1">
      <alignment horizontal="center"/>
    </xf>
    <xf numFmtId="9" fontId="1" fillId="0" borderId="0" xfId="1" applyFont="1" applyFill="1" applyBorder="1" applyAlignment="1" applyProtection="1">
      <alignment horizontal="center" vertical="center"/>
    </xf>
    <xf numFmtId="9" fontId="128" fillId="0" borderId="0" xfId="1" applyFont="1" applyFill="1" applyBorder="1" applyAlignment="1" applyProtection="1">
      <alignment horizontal="center" vertical="center"/>
    </xf>
    <xf numFmtId="9" fontId="103" fillId="0" borderId="0" xfId="1" quotePrefix="1" applyFont="1" applyFill="1" applyBorder="1" applyAlignment="1" applyProtection="1">
      <alignment horizontal="left" vertical="top"/>
    </xf>
    <xf numFmtId="0" fontId="84" fillId="0" borderId="0" xfId="0" applyFont="1"/>
    <xf numFmtId="0" fontId="85" fillId="0" borderId="0" xfId="0" applyFont="1" applyAlignment="1">
      <alignment horizontal="right" vertical="center" wrapText="1"/>
    </xf>
    <xf numFmtId="0" fontId="2" fillId="0" borderId="0" xfId="0" applyFont="1" applyAlignment="1">
      <alignment vertical="center" wrapText="1"/>
    </xf>
    <xf numFmtId="0" fontId="85" fillId="0" borderId="0" xfId="0" applyFont="1" applyAlignment="1">
      <alignment vertical="top"/>
    </xf>
    <xf numFmtId="1" fontId="4" fillId="14" borderId="75" xfId="7" applyNumberFormat="1" applyFont="1" applyFill="1" applyBorder="1" applyAlignment="1" applyProtection="1">
      <alignment horizontal="left" vertical="top"/>
    </xf>
    <xf numFmtId="49" fontId="4" fillId="14" borderId="75" xfId="7" applyNumberFormat="1" applyFont="1" applyFill="1" applyBorder="1" applyAlignment="1" applyProtection="1">
      <alignment horizontal="left" vertical="top"/>
    </xf>
    <xf numFmtId="178" fontId="4" fillId="14" borderId="75" xfId="7" applyNumberFormat="1" applyFont="1" applyFill="1" applyBorder="1" applyAlignment="1" applyProtection="1">
      <alignment horizontal="left" vertical="top"/>
    </xf>
    <xf numFmtId="14" fontId="4" fillId="12" borderId="4" xfId="7" applyNumberFormat="1" applyFont="1" applyFill="1" applyBorder="1" applyAlignment="1" applyProtection="1">
      <alignment horizontal="left" vertical="top"/>
    </xf>
    <xf numFmtId="0" fontId="4" fillId="0" borderId="0" xfId="0" applyFont="1" applyAlignment="1">
      <alignment horizontal="left" vertical="top"/>
    </xf>
    <xf numFmtId="0" fontId="1" fillId="0" borderId="0" xfId="0" applyFont="1" applyAlignment="1">
      <alignment horizontal="left" vertical="top" indent="2"/>
    </xf>
    <xf numFmtId="1" fontId="4" fillId="14" borderId="75" xfId="13" applyNumberFormat="1" applyFont="1" applyFill="1" applyBorder="1" applyAlignment="1" applyProtection="1">
      <alignment horizontal="center"/>
    </xf>
    <xf numFmtId="0" fontId="91" fillId="0" borderId="0" xfId="0" applyFont="1" applyAlignment="1">
      <alignment horizontal="center"/>
    </xf>
    <xf numFmtId="0" fontId="1" fillId="0" borderId="0" xfId="0" applyFont="1" applyAlignment="1">
      <alignment horizontal="center" vertical="top" wrapText="1"/>
    </xf>
    <xf numFmtId="0" fontId="1" fillId="11" borderId="0" xfId="0" applyFont="1" applyFill="1" applyAlignment="1">
      <alignment horizontal="right" vertical="top" wrapText="1"/>
    </xf>
    <xf numFmtId="0" fontId="88" fillId="23" borderId="76" xfId="0" applyFont="1" applyFill="1" applyBorder="1" applyAlignment="1">
      <alignment horizontal="center" vertical="top" wrapText="1"/>
    </xf>
    <xf numFmtId="1" fontId="4" fillId="14" borderId="77" xfId="7" applyNumberFormat="1" applyFont="1" applyFill="1" applyBorder="1" applyAlignment="1" applyProtection="1">
      <alignment horizontal="center" vertical="top"/>
    </xf>
    <xf numFmtId="0" fontId="2" fillId="0" borderId="0" xfId="0" applyFont="1" applyAlignment="1">
      <alignment horizontal="right" vertical="top" wrapText="1"/>
    </xf>
    <xf numFmtId="0" fontId="86" fillId="0" borderId="0" xfId="0" applyFont="1"/>
    <xf numFmtId="0" fontId="83" fillId="0" borderId="0" xfId="0" applyFont="1"/>
    <xf numFmtId="44" fontId="4" fillId="14" borderId="77" xfId="7" applyFont="1" applyFill="1" applyBorder="1" applyAlignment="1" applyProtection="1">
      <alignment vertical="center"/>
    </xf>
    <xf numFmtId="0" fontId="92" fillId="0" borderId="0" xfId="0" applyFont="1" applyAlignment="1">
      <alignment horizontal="left" vertical="top"/>
    </xf>
    <xf numFmtId="0" fontId="93" fillId="0" borderId="0" xfId="0" applyFont="1" applyAlignment="1">
      <alignment horizontal="center"/>
    </xf>
    <xf numFmtId="0" fontId="117" fillId="0" borderId="0" xfId="0" applyFont="1"/>
    <xf numFmtId="0" fontId="2" fillId="0" borderId="0" xfId="0" applyFont="1" applyAlignment="1">
      <alignment wrapText="1"/>
    </xf>
    <xf numFmtId="0" fontId="1" fillId="0" borderId="0" xfId="0" applyFont="1" applyAlignment="1">
      <alignment horizontal="left" wrapText="1"/>
    </xf>
    <xf numFmtId="0" fontId="88" fillId="23" borderId="76" xfId="0" applyFont="1" applyFill="1" applyBorder="1" applyAlignment="1">
      <alignment horizontal="center"/>
    </xf>
    <xf numFmtId="44" fontId="4" fillId="12" borderId="77" xfId="7" applyFont="1" applyFill="1" applyBorder="1" applyAlignment="1" applyProtection="1">
      <alignment vertical="center"/>
    </xf>
    <xf numFmtId="9" fontId="3" fillId="0" borderId="0" xfId="0" applyNumberFormat="1" applyFont="1"/>
    <xf numFmtId="0" fontId="1" fillId="0" borderId="0" xfId="0" applyFont="1" applyAlignment="1">
      <alignment horizontal="left" indent="2"/>
    </xf>
    <xf numFmtId="0" fontId="92" fillId="0" borderId="0" xfId="0" applyFont="1" applyAlignment="1">
      <alignment horizontal="right"/>
    </xf>
    <xf numFmtId="9" fontId="1" fillId="0" borderId="0" xfId="0" applyNumberFormat="1" applyFont="1" applyAlignment="1">
      <alignment wrapText="1"/>
    </xf>
    <xf numFmtId="0" fontId="92" fillId="0" borderId="0" xfId="0" applyFont="1" applyAlignment="1">
      <alignment horizontal="center" vertical="top"/>
    </xf>
    <xf numFmtId="0" fontId="88" fillId="23" borderId="76" xfId="0" applyFont="1" applyFill="1" applyBorder="1" applyAlignment="1">
      <alignment horizontal="center" vertical="top"/>
    </xf>
    <xf numFmtId="44" fontId="4" fillId="14" borderId="77" xfId="7" applyFont="1" applyFill="1" applyBorder="1" applyAlignment="1" applyProtection="1">
      <alignment vertical="top"/>
    </xf>
    <xf numFmtId="44" fontId="4" fillId="12" borderId="77" xfId="7" applyFont="1" applyFill="1" applyBorder="1" applyAlignment="1" applyProtection="1">
      <alignment vertical="top"/>
    </xf>
    <xf numFmtId="9" fontId="1" fillId="0" borderId="0" xfId="0" applyNumberFormat="1" applyFont="1" applyAlignment="1">
      <alignment horizontal="left" indent="2"/>
    </xf>
    <xf numFmtId="0" fontId="2" fillId="0" borderId="0" xfId="0" quotePrefix="1" applyFont="1" applyAlignment="1">
      <alignment wrapText="1"/>
    </xf>
    <xf numFmtId="0" fontId="88" fillId="23" borderId="76" xfId="0" applyFont="1" applyFill="1" applyBorder="1" applyAlignment="1">
      <alignment horizontal="center" wrapText="1"/>
    </xf>
    <xf numFmtId="0" fontId="1" fillId="0" borderId="0" xfId="0" quotePrefix="1" applyFont="1" applyAlignment="1">
      <alignment wrapText="1"/>
    </xf>
    <xf numFmtId="0" fontId="2" fillId="0" borderId="0" xfId="0" applyFont="1" applyAlignment="1">
      <alignment horizontal="left" wrapText="1"/>
    </xf>
    <xf numFmtId="0" fontId="4" fillId="14" borderId="77" xfId="7" applyNumberFormat="1" applyFont="1" applyFill="1" applyBorder="1" applyAlignment="1" applyProtection="1">
      <alignment horizontal="left" vertical="center" wrapText="1"/>
    </xf>
    <xf numFmtId="177" fontId="4" fillId="14" borderId="77" xfId="7" applyNumberFormat="1" applyFont="1" applyFill="1" applyBorder="1" applyAlignment="1" applyProtection="1">
      <alignment vertical="center"/>
    </xf>
    <xf numFmtId="0" fontId="10" fillId="14" borderId="77" xfId="5" applyNumberFormat="1" applyFill="1" applyBorder="1" applyAlignment="1" applyProtection="1">
      <alignment vertical="center"/>
    </xf>
    <xf numFmtId="0" fontId="4" fillId="14" borderId="77" xfId="7" applyNumberFormat="1" applyFont="1" applyFill="1" applyBorder="1" applyAlignment="1" applyProtection="1">
      <alignment horizontal="left" vertical="center"/>
    </xf>
    <xf numFmtId="0" fontId="96" fillId="0" borderId="0" xfId="0" applyFont="1" applyAlignment="1">
      <alignment vertical="top" wrapText="1"/>
    </xf>
    <xf numFmtId="0" fontId="77" fillId="0" borderId="0" xfId="0" applyFont="1" applyAlignment="1">
      <alignment horizontal="left" vertical="center" wrapText="1"/>
    </xf>
    <xf numFmtId="44" fontId="77" fillId="14" borderId="74" xfId="7" applyFont="1" applyFill="1" applyBorder="1" applyAlignment="1" applyProtection="1">
      <alignment vertical="top" wrapText="1"/>
    </xf>
    <xf numFmtId="176" fontId="4" fillId="14" borderId="77" xfId="7" applyNumberFormat="1" applyFont="1" applyFill="1" applyBorder="1" applyAlignment="1" applyProtection="1">
      <alignment horizontal="center" vertical="center"/>
    </xf>
    <xf numFmtId="0" fontId="0" fillId="11" borderId="0" xfId="0" applyFill="1" applyAlignment="1">
      <alignment horizontal="center"/>
    </xf>
    <xf numFmtId="9" fontId="0" fillId="11" borderId="0" xfId="0" applyNumberFormat="1" applyFill="1" applyAlignment="1">
      <alignment horizontal="center"/>
    </xf>
    <xf numFmtId="0" fontId="50" fillId="0" borderId="25" xfId="0" applyFont="1" applyBorder="1" applyAlignment="1">
      <alignment horizontal="left"/>
    </xf>
    <xf numFmtId="0" fontId="50" fillId="0" borderId="26" xfId="0" applyFont="1" applyBorder="1" applyAlignment="1">
      <alignment horizontal="left"/>
    </xf>
    <xf numFmtId="0" fontId="0" fillId="0" borderId="26" xfId="0" applyBorder="1" applyAlignment="1">
      <alignment horizontal="center"/>
    </xf>
    <xf numFmtId="0" fontId="0" fillId="11" borderId="26" xfId="0" applyFill="1" applyBorder="1" applyAlignment="1">
      <alignment horizontal="center"/>
    </xf>
    <xf numFmtId="0" fontId="0" fillId="11" borderId="27" xfId="0" applyFill="1" applyBorder="1" applyAlignment="1">
      <alignment horizontal="center"/>
    </xf>
    <xf numFmtId="0" fontId="51" fillId="11" borderId="25" xfId="0" applyFont="1" applyFill="1" applyBorder="1" applyAlignment="1">
      <alignment horizontal="left"/>
    </xf>
    <xf numFmtId="0" fontId="53" fillId="11" borderId="26" xfId="0" applyFont="1" applyFill="1" applyBorder="1" applyAlignment="1">
      <alignment horizontal="center"/>
    </xf>
    <xf numFmtId="0" fontId="21" fillId="0" borderId="15" xfId="0" applyFont="1" applyBorder="1" applyAlignment="1">
      <alignment horizontal="left"/>
    </xf>
    <xf numFmtId="0" fontId="21" fillId="0" borderId="1" xfId="0" quotePrefix="1" applyFont="1" applyBorder="1" applyAlignment="1">
      <alignment horizontal="center"/>
    </xf>
    <xf numFmtId="173" fontId="21" fillId="0" borderId="1" xfId="0" applyNumberFormat="1" applyFont="1" applyBorder="1" applyAlignment="1">
      <alignment horizontal="center"/>
    </xf>
    <xf numFmtId="164" fontId="21" fillId="0" borderId="0" xfId="0" applyNumberFormat="1" applyFont="1" applyAlignment="1">
      <alignment horizontal="center"/>
    </xf>
    <xf numFmtId="164" fontId="21" fillId="0" borderId="1" xfId="0" applyNumberFormat="1" applyFont="1" applyBorder="1" applyAlignment="1">
      <alignment horizontal="center"/>
    </xf>
    <xf numFmtId="1" fontId="21" fillId="0" borderId="1" xfId="0" applyNumberFormat="1" applyFont="1" applyBorder="1" applyAlignment="1">
      <alignment horizontal="center"/>
    </xf>
    <xf numFmtId="174" fontId="21" fillId="0" borderId="68" xfId="0" applyNumberFormat="1" applyFont="1" applyBorder="1" applyAlignment="1">
      <alignment horizontal="center"/>
    </xf>
    <xf numFmtId="0" fontId="21" fillId="0" borderId="1" xfId="0" quotePrefix="1" applyFont="1" applyBorder="1" applyAlignment="1">
      <alignment horizontal="left" wrapText="1"/>
    </xf>
    <xf numFmtId="2" fontId="54" fillId="0" borderId="1" xfId="0" applyNumberFormat="1" applyFont="1" applyBorder="1" applyAlignment="1">
      <alignment horizontal="center"/>
    </xf>
    <xf numFmtId="164" fontId="21" fillId="0" borderId="6" xfId="0" applyNumberFormat="1" applyFont="1" applyBorder="1" applyAlignment="1">
      <alignment horizontal="center"/>
    </xf>
    <xf numFmtId="0" fontId="54" fillId="0" borderId="0" xfId="0" applyFont="1" applyAlignment="1">
      <alignment horizontal="center"/>
    </xf>
    <xf numFmtId="1" fontId="21" fillId="0" borderId="6" xfId="0" applyNumberFormat="1" applyFont="1" applyBorder="1" applyAlignment="1">
      <alignment horizontal="center"/>
    </xf>
    <xf numFmtId="0" fontId="22" fillId="0" borderId="0" xfId="0" applyFont="1"/>
    <xf numFmtId="0" fontId="51" fillId="0" borderId="15" xfId="0" applyFont="1" applyBorder="1"/>
    <xf numFmtId="1" fontId="0" fillId="0" borderId="0" xfId="0" applyNumberFormat="1"/>
    <xf numFmtId="0" fontId="55" fillId="0" borderId="0" xfId="0" applyFont="1" applyAlignment="1">
      <alignment horizontal="center"/>
    </xf>
    <xf numFmtId="174" fontId="0" fillId="0" borderId="21" xfId="0" applyNumberFormat="1" applyBorder="1"/>
    <xf numFmtId="0" fontId="21" fillId="0" borderId="0" xfId="0" applyFont="1" applyAlignment="1">
      <alignment horizontal="left"/>
    </xf>
    <xf numFmtId="0" fontId="21" fillId="0" borderId="0" xfId="0" applyFont="1" applyAlignment="1">
      <alignment horizontal="right"/>
    </xf>
    <xf numFmtId="164" fontId="21" fillId="0" borderId="0" xfId="0" applyNumberFormat="1" applyFont="1"/>
    <xf numFmtId="0" fontId="0" fillId="0" borderId="1" xfId="0" applyBorder="1" applyAlignment="1">
      <alignment horizontal="center"/>
    </xf>
    <xf numFmtId="0" fontId="54" fillId="0" borderId="1" xfId="0" applyFont="1" applyBorder="1" applyAlignment="1">
      <alignment horizontal="center"/>
    </xf>
    <xf numFmtId="1" fontId="54" fillId="0" borderId="1" xfId="0" applyNumberFormat="1" applyFont="1" applyBorder="1" applyAlignment="1">
      <alignment horizontal="center"/>
    </xf>
    <xf numFmtId="0" fontId="21" fillId="0" borderId="0" xfId="0" applyFont="1" applyAlignment="1">
      <alignment horizontal="center"/>
    </xf>
    <xf numFmtId="175" fontId="21" fillId="0" borderId="0" xfId="0" applyNumberFormat="1" applyFont="1" applyAlignment="1">
      <alignment horizontal="center"/>
    </xf>
    <xf numFmtId="1" fontId="21" fillId="0" borderId="0" xfId="0" applyNumberFormat="1" applyFont="1" applyAlignment="1">
      <alignment horizontal="center"/>
    </xf>
    <xf numFmtId="174" fontId="21" fillId="0" borderId="21" xfId="0" applyNumberFormat="1" applyFont="1" applyBorder="1" applyAlignment="1">
      <alignment horizontal="center"/>
    </xf>
    <xf numFmtId="0" fontId="21" fillId="0" borderId="0" xfId="0" quotePrefix="1" applyFont="1" applyAlignment="1">
      <alignment horizontal="center"/>
    </xf>
    <xf numFmtId="1" fontId="54" fillId="0" borderId="0" xfId="0" applyNumberFormat="1" applyFont="1" applyAlignment="1">
      <alignment horizontal="center"/>
    </xf>
    <xf numFmtId="0" fontId="50" fillId="11" borderId="0" xfId="0" applyFont="1" applyFill="1" applyAlignment="1">
      <alignment horizontal="center"/>
    </xf>
    <xf numFmtId="164" fontId="50" fillId="11" borderId="0" xfId="0" applyNumberFormat="1" applyFont="1" applyFill="1" applyAlignment="1">
      <alignment horizontal="center"/>
    </xf>
    <xf numFmtId="164" fontId="50" fillId="11" borderId="0" xfId="0" applyNumberFormat="1" applyFont="1" applyFill="1" applyAlignment="1">
      <alignment horizontal="right"/>
    </xf>
    <xf numFmtId="174" fontId="56" fillId="17" borderId="21" xfId="0" applyNumberFormat="1" applyFont="1" applyFill="1" applyBorder="1" applyAlignment="1">
      <alignment horizontal="center"/>
    </xf>
    <xf numFmtId="0" fontId="0" fillId="11" borderId="22" xfId="0" applyFill="1" applyBorder="1"/>
    <xf numFmtId="0" fontId="50" fillId="11" borderId="23" xfId="0" applyFont="1" applyFill="1" applyBorder="1" applyAlignment="1">
      <alignment horizontal="center"/>
    </xf>
    <xf numFmtId="164" fontId="50" fillId="11" borderId="23" xfId="0" applyNumberFormat="1" applyFont="1" applyFill="1" applyBorder="1" applyAlignment="1">
      <alignment horizontal="center"/>
    </xf>
    <xf numFmtId="164" fontId="50" fillId="11" borderId="24" xfId="0" applyNumberFormat="1" applyFont="1" applyFill="1" applyBorder="1" applyAlignment="1">
      <alignment horizontal="center"/>
    </xf>
    <xf numFmtId="0" fontId="51" fillId="0" borderId="25" xfId="0" applyFont="1" applyBorder="1"/>
    <xf numFmtId="0" fontId="50" fillId="11" borderId="26" xfId="0" applyFont="1" applyFill="1" applyBorder="1" applyAlignment="1">
      <alignment horizontal="center"/>
    </xf>
    <xf numFmtId="164" fontId="50" fillId="11" borderId="26" xfId="0" applyNumberFormat="1" applyFont="1" applyFill="1" applyBorder="1" applyAlignment="1">
      <alignment horizontal="center"/>
    </xf>
    <xf numFmtId="164" fontId="50" fillId="11" borderId="27" xfId="0" applyNumberFormat="1" applyFont="1" applyFill="1" applyBorder="1" applyAlignment="1">
      <alignment horizontal="center"/>
    </xf>
    <xf numFmtId="0" fontId="50" fillId="11" borderId="0" xfId="0" applyFont="1" applyFill="1" applyAlignment="1">
      <alignment horizontal="left"/>
    </xf>
    <xf numFmtId="180" fontId="50" fillId="11" borderId="38" xfId="1" applyNumberFormat="1" applyFont="1" applyFill="1" applyBorder="1" applyAlignment="1" applyProtection="1">
      <alignment horizontal="center"/>
    </xf>
    <xf numFmtId="0" fontId="0" fillId="11" borderId="23" xfId="0" applyFill="1" applyBorder="1" applyAlignment="1">
      <alignment horizontal="center"/>
    </xf>
    <xf numFmtId="0" fontId="0" fillId="11" borderId="24" xfId="0" applyFill="1" applyBorder="1" applyAlignment="1">
      <alignment horizontal="center"/>
    </xf>
    <xf numFmtId="0" fontId="107" fillId="13" borderId="0" xfId="0" applyFont="1" applyFill="1" applyAlignment="1">
      <alignment horizontal="left" vertical="center"/>
    </xf>
    <xf numFmtId="0" fontId="107" fillId="26" borderId="0" xfId="0" applyFont="1" applyFill="1" applyAlignment="1">
      <alignment horizontal="left" vertical="center"/>
    </xf>
    <xf numFmtId="0" fontId="0" fillId="26" borderId="0" xfId="0" applyFill="1" applyAlignment="1">
      <alignment vertical="top"/>
    </xf>
    <xf numFmtId="0" fontId="0" fillId="27" borderId="0" xfId="0" applyFill="1" applyAlignment="1">
      <alignment vertical="top"/>
    </xf>
    <xf numFmtId="49" fontId="0" fillId="0" borderId="0" xfId="0" applyNumberFormat="1"/>
    <xf numFmtId="178" fontId="0" fillId="0" borderId="0" xfId="0" applyNumberFormat="1"/>
    <xf numFmtId="1" fontId="0" fillId="0" borderId="0" xfId="0" applyNumberFormat="1" applyAlignment="1">
      <alignment vertical="top"/>
    </xf>
    <xf numFmtId="2" fontId="0" fillId="0" borderId="0" xfId="0" applyNumberFormat="1" applyAlignment="1">
      <alignment vertical="top"/>
    </xf>
    <xf numFmtId="44" fontId="0" fillId="0" borderId="0" xfId="0" applyNumberFormat="1" applyAlignment="1">
      <alignment vertical="top"/>
    </xf>
    <xf numFmtId="43" fontId="0" fillId="0" borderId="0" xfId="0" applyNumberFormat="1" applyAlignment="1">
      <alignment vertical="top"/>
    </xf>
    <xf numFmtId="176" fontId="0" fillId="0" borderId="0" xfId="0" applyNumberFormat="1" applyAlignment="1">
      <alignment vertical="top"/>
    </xf>
    <xf numFmtId="44" fontId="69" fillId="2" borderId="42" xfId="7" applyFont="1" applyFill="1" applyBorder="1" applyAlignment="1" applyProtection="1">
      <alignment vertical="center"/>
      <protection locked="0"/>
    </xf>
    <xf numFmtId="44" fontId="69" fillId="2" borderId="36" xfId="7" applyFont="1" applyFill="1" applyBorder="1" applyAlignment="1" applyProtection="1">
      <alignment vertical="center"/>
      <protection locked="0"/>
    </xf>
    <xf numFmtId="44" fontId="69" fillId="2" borderId="9" xfId="7" applyFont="1" applyFill="1" applyBorder="1" applyAlignment="1" applyProtection="1">
      <alignment vertical="center"/>
      <protection locked="0"/>
    </xf>
    <xf numFmtId="0" fontId="29" fillId="0" borderId="17" xfId="0" applyFont="1" applyBorder="1" applyAlignment="1">
      <alignment horizontal="left" indent="1"/>
    </xf>
    <xf numFmtId="0" fontId="25" fillId="11" borderId="2" xfId="0" applyFont="1" applyFill="1" applyBorder="1" applyAlignment="1">
      <alignment horizontal="left" vertical="center" indent="1"/>
    </xf>
    <xf numFmtId="49" fontId="4" fillId="2" borderId="42" xfId="13" applyNumberFormat="1" applyFont="1" applyFill="1" applyBorder="1" applyAlignment="1" applyProtection="1">
      <alignment horizontal="center"/>
      <protection locked="0"/>
    </xf>
    <xf numFmtId="49" fontId="4" fillId="2" borderId="93" xfId="13" applyNumberFormat="1" applyFont="1" applyFill="1" applyBorder="1" applyAlignment="1" applyProtection="1">
      <alignment horizontal="center"/>
      <protection locked="0"/>
    </xf>
    <xf numFmtId="49" fontId="4" fillId="2" borderId="61" xfId="13" applyNumberFormat="1" applyFont="1" applyFill="1" applyBorder="1" applyAlignment="1" applyProtection="1">
      <alignment horizontal="center"/>
      <protection locked="0"/>
    </xf>
    <xf numFmtId="44" fontId="11" fillId="2" borderId="1" xfId="7" applyFont="1" applyFill="1" applyBorder="1" applyProtection="1">
      <protection locked="0"/>
    </xf>
    <xf numFmtId="1" fontId="126" fillId="0" borderId="38" xfId="7" applyNumberFormat="1" applyFont="1" applyFill="1" applyBorder="1" applyAlignment="1" applyProtection="1">
      <alignment horizontal="center" vertical="center"/>
      <protection locked="0"/>
    </xf>
    <xf numFmtId="43" fontId="4" fillId="14" borderId="77" xfId="13" applyFont="1" applyFill="1" applyBorder="1" applyAlignment="1" applyProtection="1">
      <alignment vertical="center"/>
    </xf>
    <xf numFmtId="0" fontId="118" fillId="0" borderId="0" xfId="0" applyFont="1"/>
    <xf numFmtId="0" fontId="129" fillId="0" borderId="0" xfId="0" applyFont="1"/>
    <xf numFmtId="0" fontId="123" fillId="31" borderId="87" xfId="0" applyFont="1" applyFill="1" applyBorder="1" applyAlignment="1">
      <alignment horizontal="center" vertical="center" wrapText="1"/>
    </xf>
    <xf numFmtId="0" fontId="123" fillId="31" borderId="38" xfId="0" applyFont="1" applyFill="1" applyBorder="1" applyAlignment="1">
      <alignment horizontal="center" vertical="center" wrapText="1"/>
    </xf>
    <xf numFmtId="0" fontId="123" fillId="31" borderId="88" xfId="0" applyFont="1" applyFill="1" applyBorder="1" applyAlignment="1">
      <alignment horizontal="center" vertical="center" wrapText="1"/>
    </xf>
    <xf numFmtId="0" fontId="0" fillId="13" borderId="38" xfId="0" applyFill="1" applyBorder="1" applyAlignment="1">
      <alignment horizontal="center" vertical="center"/>
    </xf>
    <xf numFmtId="0" fontId="125" fillId="0" borderId="87" xfId="0" applyFont="1" applyBorder="1" applyAlignment="1">
      <alignment vertical="center" wrapText="1"/>
    </xf>
    <xf numFmtId="0" fontId="126" fillId="0" borderId="38" xfId="0" applyFont="1" applyBorder="1" applyAlignment="1">
      <alignment vertical="center" wrapText="1"/>
    </xf>
    <xf numFmtId="0" fontId="0" fillId="13" borderId="18" xfId="0" applyFill="1" applyBorder="1" applyAlignment="1">
      <alignment horizontal="center" vertical="center"/>
    </xf>
    <xf numFmtId="0" fontId="37" fillId="0" borderId="15" xfId="0" applyFont="1" applyBorder="1"/>
    <xf numFmtId="0" fontId="37" fillId="0" borderId="0" xfId="0" applyFont="1"/>
    <xf numFmtId="0" fontId="37" fillId="0" borderId="21" xfId="0" applyFont="1" applyBorder="1"/>
    <xf numFmtId="164" fontId="29" fillId="0" borderId="0" xfId="0" applyNumberFormat="1" applyFont="1"/>
    <xf numFmtId="0" fontId="110" fillId="3" borderId="43" xfId="0" applyFont="1" applyFill="1" applyBorder="1" applyAlignment="1">
      <alignment horizontal="center"/>
    </xf>
    <xf numFmtId="0" fontId="125" fillId="0" borderId="34" xfId="0" applyFont="1" applyBorder="1" applyAlignment="1">
      <alignment vertical="center" wrapText="1"/>
    </xf>
    <xf numFmtId="0" fontId="118" fillId="16" borderId="0" xfId="0" applyFont="1" applyFill="1"/>
    <xf numFmtId="0" fontId="31" fillId="0" borderId="15" xfId="0" applyFont="1" applyBorder="1" applyAlignment="1">
      <alignment horizontal="left" indent="1"/>
    </xf>
    <xf numFmtId="175" fontId="31" fillId="0" borderId="0" xfId="0" applyNumberFormat="1" applyFont="1"/>
    <xf numFmtId="164" fontId="29" fillId="0" borderId="69" xfId="0" applyNumberFormat="1" applyFont="1" applyBorder="1" applyProtection="1">
      <protection locked="0"/>
    </xf>
    <xf numFmtId="164" fontId="29" fillId="0" borderId="54" xfId="0" applyNumberFormat="1" applyFont="1" applyBorder="1" applyProtection="1">
      <protection locked="0"/>
    </xf>
    <xf numFmtId="164" fontId="29" fillId="0" borderId="53" xfId="0" applyNumberFormat="1" applyFont="1" applyBorder="1" applyProtection="1">
      <protection locked="0"/>
    </xf>
    <xf numFmtId="164" fontId="29" fillId="0" borderId="36" xfId="0" applyNumberFormat="1" applyFont="1" applyBorder="1" applyProtection="1">
      <protection locked="0"/>
    </xf>
    <xf numFmtId="164" fontId="29" fillId="11" borderId="53" xfId="0" applyNumberFormat="1" applyFont="1" applyFill="1" applyBorder="1" applyProtection="1">
      <protection locked="0"/>
    </xf>
    <xf numFmtId="164" fontId="29" fillId="13" borderId="36" xfId="0" applyNumberFormat="1" applyFont="1" applyFill="1" applyBorder="1" applyProtection="1">
      <protection locked="0"/>
    </xf>
    <xf numFmtId="164" fontId="29" fillId="11" borderId="36" xfId="0" applyNumberFormat="1" applyFont="1" applyFill="1" applyBorder="1" applyProtection="1">
      <protection locked="0"/>
    </xf>
    <xf numFmtId="0" fontId="111" fillId="3" borderId="25" xfId="12" applyFont="1" applyFill="1" applyBorder="1" applyAlignment="1" applyProtection="1">
      <alignment horizontal="center"/>
    </xf>
    <xf numFmtId="0" fontId="111" fillId="3" borderId="26" xfId="12" applyFont="1" applyFill="1" applyBorder="1" applyAlignment="1" applyProtection="1">
      <alignment horizontal="center"/>
    </xf>
    <xf numFmtId="0" fontId="111" fillId="3" borderId="27" xfId="12" applyFont="1" applyFill="1" applyBorder="1" applyAlignment="1" applyProtection="1">
      <alignment horizontal="center"/>
    </xf>
    <xf numFmtId="0" fontId="111" fillId="3" borderId="22" xfId="12" applyFont="1" applyFill="1" applyBorder="1" applyAlignment="1" applyProtection="1">
      <alignment horizontal="center"/>
    </xf>
    <xf numFmtId="0" fontId="111" fillId="3" borderId="23" xfId="12" applyFont="1" applyFill="1" applyBorder="1" applyAlignment="1" applyProtection="1">
      <alignment horizontal="center"/>
    </xf>
    <xf numFmtId="0" fontId="111" fillId="3" borderId="24" xfId="12" applyFont="1" applyFill="1" applyBorder="1" applyAlignment="1" applyProtection="1">
      <alignment horizontal="center"/>
    </xf>
    <xf numFmtId="0" fontId="0" fillId="0" borderId="2" xfId="0" applyBorder="1" applyAlignment="1">
      <alignment vertical="center" wrapText="1"/>
    </xf>
    <xf numFmtId="0" fontId="0" fillId="0" borderId="9" xfId="0" applyBorder="1" applyAlignment="1">
      <alignment vertical="center" wrapText="1"/>
    </xf>
    <xf numFmtId="0" fontId="0" fillId="0" borderId="3" xfId="0" applyBorder="1" applyAlignment="1">
      <alignment vertical="center" wrapText="1"/>
    </xf>
    <xf numFmtId="0" fontId="44" fillId="3" borderId="1" xfId="0" applyFont="1" applyFill="1" applyBorder="1" applyAlignment="1">
      <alignment horizontal="center" vertical="center" wrapText="1"/>
    </xf>
    <xf numFmtId="0" fontId="32" fillId="3" borderId="43" xfId="0" applyFont="1" applyFill="1" applyBorder="1" applyAlignment="1">
      <alignment horizontal="left" vertical="center"/>
    </xf>
    <xf numFmtId="0" fontId="32" fillId="3" borderId="33" xfId="0" applyFont="1" applyFill="1" applyBorder="1" applyAlignment="1">
      <alignment horizontal="left" vertical="center"/>
    </xf>
    <xf numFmtId="0" fontId="32" fillId="3" borderId="34" xfId="0" applyFont="1" applyFill="1" applyBorder="1" applyAlignment="1">
      <alignment horizontal="left" vertical="center"/>
    </xf>
    <xf numFmtId="0" fontId="32" fillId="3" borderId="25" xfId="0" applyFont="1" applyFill="1" applyBorder="1" applyAlignment="1">
      <alignment horizontal="center" vertical="center"/>
    </xf>
    <xf numFmtId="0" fontId="32" fillId="3" borderId="26" xfId="0" applyFont="1" applyFill="1" applyBorder="1" applyAlignment="1">
      <alignment horizontal="center" vertical="center"/>
    </xf>
    <xf numFmtId="0" fontId="32" fillId="3" borderId="27" xfId="0" applyFont="1" applyFill="1" applyBorder="1" applyAlignment="1">
      <alignment horizontal="center" vertical="center"/>
    </xf>
    <xf numFmtId="0" fontId="29" fillId="10" borderId="25" xfId="7" applyNumberFormat="1" applyFont="1" applyFill="1" applyBorder="1" applyAlignment="1" applyProtection="1">
      <alignment horizontal="left" vertical="center"/>
    </xf>
    <xf numFmtId="0" fontId="29" fillId="10" borderId="27" xfId="7" applyNumberFormat="1" applyFont="1" applyFill="1" applyBorder="1" applyAlignment="1" applyProtection="1">
      <alignment horizontal="left" vertical="center"/>
    </xf>
    <xf numFmtId="0" fontId="29" fillId="2" borderId="15" xfId="7" applyNumberFormat="1" applyFont="1" applyFill="1" applyBorder="1" applyAlignment="1" applyProtection="1">
      <alignment horizontal="left" vertical="center" wrapText="1"/>
    </xf>
    <xf numFmtId="0" fontId="29" fillId="2" borderId="21" xfId="7" applyNumberFormat="1" applyFont="1" applyFill="1" applyBorder="1" applyAlignment="1" applyProtection="1">
      <alignment horizontal="left" vertical="center" wrapText="1"/>
    </xf>
    <xf numFmtId="0" fontId="29" fillId="2" borderId="15" xfId="7" applyNumberFormat="1" applyFont="1" applyFill="1" applyBorder="1" applyAlignment="1" applyProtection="1">
      <alignment vertical="center" wrapText="1"/>
    </xf>
    <xf numFmtId="0" fontId="29" fillId="2" borderId="21" xfId="7" applyNumberFormat="1" applyFont="1" applyFill="1" applyBorder="1" applyAlignment="1" applyProtection="1">
      <alignment vertical="center" wrapText="1"/>
    </xf>
    <xf numFmtId="0" fontId="29" fillId="2" borderId="22" xfId="7" applyNumberFormat="1" applyFont="1" applyFill="1" applyBorder="1" applyAlignment="1" applyProtection="1">
      <alignment horizontal="left" vertical="center" wrapText="1"/>
    </xf>
    <xf numFmtId="0" fontId="29" fillId="2" borderId="24" xfId="7" applyNumberFormat="1" applyFont="1" applyFill="1" applyBorder="1" applyAlignment="1" applyProtection="1">
      <alignment horizontal="left" vertical="center" wrapText="1"/>
    </xf>
    <xf numFmtId="0" fontId="59" fillId="29" borderId="2" xfId="0" applyFont="1" applyFill="1" applyBorder="1" applyAlignment="1">
      <alignment vertical="center" wrapText="1"/>
    </xf>
    <xf numFmtId="0" fontId="59" fillId="29" borderId="3" xfId="0" applyFont="1" applyFill="1" applyBorder="1" applyAlignment="1">
      <alignment vertical="center" wrapText="1"/>
    </xf>
    <xf numFmtId="0" fontId="18" fillId="27" borderId="7" xfId="0" applyFont="1" applyFill="1" applyBorder="1" applyAlignment="1">
      <alignment horizontal="center" vertical="center" wrapText="1"/>
    </xf>
    <xf numFmtId="0" fontId="18" fillId="27" borderId="8" xfId="0" applyFont="1" applyFill="1" applyBorder="1" applyAlignment="1">
      <alignment horizontal="center" vertical="center" wrapText="1"/>
    </xf>
    <xf numFmtId="0" fontId="18" fillId="27" borderId="6" xfId="0" applyFont="1" applyFill="1" applyBorder="1" applyAlignment="1">
      <alignment horizontal="center" vertical="center" wrapText="1"/>
    </xf>
    <xf numFmtId="0" fontId="59" fillId="27" borderId="28" xfId="0" applyFont="1" applyFill="1" applyBorder="1" applyAlignment="1">
      <alignment vertical="center"/>
    </xf>
    <xf numFmtId="0" fontId="59" fillId="27" borderId="30" xfId="0" applyFont="1" applyFill="1" applyBorder="1" applyAlignment="1">
      <alignment vertical="center"/>
    </xf>
    <xf numFmtId="0" fontId="59" fillId="27" borderId="13" xfId="0" applyFont="1" applyFill="1" applyBorder="1" applyAlignment="1">
      <alignment vertical="center"/>
    </xf>
    <xf numFmtId="0" fontId="59" fillId="27" borderId="31" xfId="0" applyFont="1" applyFill="1" applyBorder="1" applyAlignment="1">
      <alignment vertical="center"/>
    </xf>
    <xf numFmtId="0" fontId="59" fillId="27" borderId="12" xfId="0" applyFont="1" applyFill="1" applyBorder="1" applyAlignment="1">
      <alignment vertical="center"/>
    </xf>
    <xf numFmtId="0" fontId="59" fillId="27" borderId="11" xfId="0" applyFont="1" applyFill="1" applyBorder="1" applyAlignment="1">
      <alignment vertical="center"/>
    </xf>
    <xf numFmtId="0" fontId="59" fillId="27" borderId="1" xfId="0" applyFont="1" applyFill="1" applyBorder="1" applyAlignment="1">
      <alignment vertical="center" wrapText="1"/>
    </xf>
    <xf numFmtId="0" fontId="22" fillId="0" borderId="0" xfId="0" applyFont="1" applyAlignment="1">
      <alignment horizontal="center"/>
    </xf>
    <xf numFmtId="0" fontId="59" fillId="27" borderId="1" xfId="0" applyFont="1" applyFill="1" applyBorder="1" applyAlignment="1">
      <alignment vertical="center"/>
    </xf>
    <xf numFmtId="0" fontId="59" fillId="28" borderId="2" xfId="0" applyFont="1" applyFill="1" applyBorder="1" applyAlignment="1">
      <alignment vertical="center" wrapText="1"/>
    </xf>
    <xf numFmtId="0" fontId="59" fillId="28" borderId="3" xfId="0" applyFont="1" applyFill="1" applyBorder="1" applyAlignment="1">
      <alignment vertical="center" wrapText="1"/>
    </xf>
    <xf numFmtId="0" fontId="12" fillId="0" borderId="2" xfId="0" applyFont="1" applyBorder="1" applyAlignment="1">
      <alignment vertical="center" wrapText="1"/>
    </xf>
    <xf numFmtId="0" fontId="12" fillId="0" borderId="9" xfId="0" applyFont="1" applyBorder="1" applyAlignment="1">
      <alignment vertical="center" wrapText="1"/>
    </xf>
    <xf numFmtId="0" fontId="12" fillId="0" borderId="3" xfId="0" applyFont="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0" fillId="0" borderId="30" xfId="0" applyBorder="1" applyAlignment="1">
      <alignment vertical="center" wrapText="1"/>
    </xf>
    <xf numFmtId="0" fontId="0" fillId="0" borderId="12"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59" fillId="28" borderId="1" xfId="0" applyFont="1" applyFill="1" applyBorder="1" applyAlignment="1">
      <alignment vertical="center" wrapText="1"/>
    </xf>
    <xf numFmtId="0" fontId="10" fillId="0" borderId="43" xfId="5" applyBorder="1" applyAlignment="1" applyProtection="1">
      <alignment horizontal="center"/>
      <protection locked="0"/>
    </xf>
    <xf numFmtId="0" fontId="10" fillId="0" borderId="33" xfId="5" applyBorder="1" applyAlignment="1" applyProtection="1">
      <alignment horizontal="center"/>
      <protection locked="0"/>
    </xf>
    <xf numFmtId="0" fontId="10" fillId="0" borderId="34" xfId="5" applyBorder="1" applyAlignment="1" applyProtection="1">
      <alignment horizontal="center"/>
      <protection locked="0"/>
    </xf>
    <xf numFmtId="0" fontId="32" fillId="3" borderId="43" xfId="0" applyFont="1" applyFill="1" applyBorder="1" applyAlignment="1">
      <alignment horizontal="center" vertical="center"/>
    </xf>
    <xf numFmtId="0" fontId="32" fillId="3" borderId="33" xfId="0" applyFont="1" applyFill="1" applyBorder="1" applyAlignment="1">
      <alignment horizontal="center" vertical="center"/>
    </xf>
    <xf numFmtId="0" fontId="32" fillId="3" borderId="34" xfId="0" applyFont="1" applyFill="1" applyBorder="1" applyAlignment="1">
      <alignment horizontal="center" vertical="center"/>
    </xf>
    <xf numFmtId="0" fontId="12" fillId="0" borderId="28" xfId="0" applyFont="1" applyBorder="1" applyAlignment="1">
      <alignment horizontal="left" vertical="center" wrapText="1"/>
    </xf>
    <xf numFmtId="0" fontId="12" fillId="0" borderId="29" xfId="0" applyFont="1" applyBorder="1" applyAlignment="1">
      <alignment horizontal="left" vertical="center" wrapText="1"/>
    </xf>
    <xf numFmtId="0" fontId="12" fillId="0" borderId="30" xfId="0" applyFont="1" applyBorder="1" applyAlignment="1">
      <alignment horizontal="left" vertical="center" wrapText="1"/>
    </xf>
    <xf numFmtId="0" fontId="12" fillId="0" borderId="12" xfId="0" applyFont="1" applyBorder="1" applyAlignment="1">
      <alignment horizontal="left" vertical="center" wrapText="1"/>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45" fillId="3" borderId="43" xfId="0" applyFont="1" applyFill="1" applyBorder="1" applyAlignment="1">
      <alignment horizontal="center" vertical="center"/>
    </xf>
    <xf numFmtId="0" fontId="45" fillId="3" borderId="33" xfId="0" applyFont="1" applyFill="1" applyBorder="1" applyAlignment="1">
      <alignment horizontal="center" vertical="center"/>
    </xf>
    <xf numFmtId="0" fontId="48" fillId="3" borderId="0" xfId="12" applyFont="1" applyFill="1" applyBorder="1" applyAlignment="1" applyProtection="1">
      <alignment horizontal="center"/>
    </xf>
    <xf numFmtId="0" fontId="11" fillId="0" borderId="0" xfId="0" applyFont="1" applyAlignment="1">
      <alignment horizontal="left" wrapText="1"/>
    </xf>
    <xf numFmtId="0" fontId="11" fillId="0" borderId="28" xfId="0" applyFont="1" applyBorder="1" applyAlignment="1">
      <alignment horizontal="left" vertical="top" wrapText="1"/>
    </xf>
    <xf numFmtId="0" fontId="11" fillId="0" borderId="29" xfId="0" applyFont="1" applyBorder="1" applyAlignment="1">
      <alignment horizontal="left" vertical="top" wrapText="1"/>
    </xf>
    <xf numFmtId="0" fontId="11" fillId="0" borderId="30" xfId="0" applyFont="1" applyBorder="1" applyAlignment="1">
      <alignment horizontal="left" vertical="top" wrapText="1"/>
    </xf>
    <xf numFmtId="0" fontId="11" fillId="0" borderId="12" xfId="0" applyFont="1" applyBorder="1" applyAlignment="1">
      <alignment horizontal="left" vertical="top" wrapText="1"/>
    </xf>
    <xf numFmtId="0" fontId="11" fillId="0" borderId="10" xfId="0" applyFont="1" applyBorder="1" applyAlignment="1">
      <alignment horizontal="left" vertical="top" wrapText="1"/>
    </xf>
    <xf numFmtId="0" fontId="25" fillId="4" borderId="7" xfId="0" applyFont="1" applyFill="1" applyBorder="1" applyAlignment="1">
      <alignment horizontal="left" vertical="center" wrapText="1"/>
    </xf>
    <xf numFmtId="0" fontId="25" fillId="4" borderId="8" xfId="0" applyFont="1" applyFill="1" applyBorder="1" applyAlignment="1">
      <alignment horizontal="left" vertical="center" wrapText="1"/>
    </xf>
    <xf numFmtId="0" fontId="25" fillId="4" borderId="6" xfId="0" applyFont="1" applyFill="1" applyBorder="1" applyAlignment="1">
      <alignment horizontal="left" vertical="center" wrapText="1"/>
    </xf>
    <xf numFmtId="0" fontId="39" fillId="5" borderId="1" xfId="0" applyFont="1" applyFill="1" applyBorder="1" applyAlignment="1">
      <alignment horizontal="left" vertical="center"/>
    </xf>
    <xf numFmtId="0" fontId="25" fillId="5" borderId="7" xfId="0" applyFont="1" applyFill="1" applyBorder="1" applyAlignment="1">
      <alignment horizontal="center" vertical="center" textRotation="90" wrapText="1"/>
    </xf>
    <xf numFmtId="0" fontId="25" fillId="5" borderId="8" xfId="0" applyFont="1" applyFill="1" applyBorder="1" applyAlignment="1">
      <alignment horizontal="center" vertical="center" textRotation="90" wrapText="1"/>
    </xf>
    <xf numFmtId="0" fontId="25" fillId="5" borderId="6" xfId="0" applyFont="1" applyFill="1" applyBorder="1" applyAlignment="1">
      <alignment horizontal="center" vertical="center" textRotation="90" wrapText="1"/>
    </xf>
    <xf numFmtId="0" fontId="25" fillId="5" borderId="1" xfId="0" applyFont="1" applyFill="1" applyBorder="1" applyAlignment="1">
      <alignment horizontal="left" vertical="center"/>
    </xf>
    <xf numFmtId="0" fontId="11" fillId="0" borderId="1" xfId="0" applyFont="1" applyBorder="1" applyAlignment="1">
      <alignment horizontal="left" vertical="center"/>
    </xf>
    <xf numFmtId="0" fontId="11" fillId="5" borderId="2" xfId="0" applyFont="1" applyFill="1" applyBorder="1" applyAlignment="1">
      <alignment horizontal="left" vertical="center"/>
    </xf>
    <xf numFmtId="0" fontId="11" fillId="5" borderId="3" xfId="0" applyFont="1" applyFill="1" applyBorder="1" applyAlignment="1">
      <alignment horizontal="left" vertical="center"/>
    </xf>
    <xf numFmtId="0" fontId="48" fillId="3" borderId="43" xfId="0" applyFont="1" applyFill="1" applyBorder="1" applyAlignment="1">
      <alignment horizontal="center" vertical="center" wrapText="1"/>
    </xf>
    <xf numFmtId="0" fontId="48" fillId="3" borderId="33" xfId="0" applyFont="1" applyFill="1" applyBorder="1" applyAlignment="1">
      <alignment horizontal="center" vertical="center" wrapText="1"/>
    </xf>
    <xf numFmtId="0" fontId="48" fillId="3" borderId="34" xfId="0" applyFont="1" applyFill="1" applyBorder="1" applyAlignment="1">
      <alignment horizontal="center" vertical="center" wrapText="1"/>
    </xf>
    <xf numFmtId="0" fontId="25" fillId="0" borderId="0" xfId="0" applyFont="1" applyAlignment="1">
      <alignment horizontal="left" vertical="center" wrapText="1"/>
    </xf>
    <xf numFmtId="49" fontId="11" fillId="2" borderId="28" xfId="0" applyNumberFormat="1" applyFont="1" applyFill="1" applyBorder="1" applyAlignment="1" applyProtection="1">
      <alignment horizontal="left" vertical="center" wrapText="1"/>
      <protection locked="0"/>
    </xf>
    <xf numFmtId="49" fontId="11" fillId="2" borderId="29" xfId="0" applyNumberFormat="1" applyFont="1" applyFill="1" applyBorder="1" applyAlignment="1" applyProtection="1">
      <alignment horizontal="left" vertical="center" wrapText="1"/>
      <protection locked="0"/>
    </xf>
    <xf numFmtId="49" fontId="11" fillId="2" borderId="30" xfId="0" applyNumberFormat="1" applyFont="1" applyFill="1" applyBorder="1" applyAlignment="1" applyProtection="1">
      <alignment horizontal="left" vertical="center" wrapText="1"/>
      <protection locked="0"/>
    </xf>
    <xf numFmtId="49" fontId="11" fillId="2" borderId="12" xfId="0" applyNumberFormat="1" applyFont="1" applyFill="1" applyBorder="1" applyAlignment="1" applyProtection="1">
      <alignment horizontal="left" vertical="center" wrapText="1"/>
      <protection locked="0"/>
    </xf>
    <xf numFmtId="49" fontId="11" fillId="2" borderId="10" xfId="0" applyNumberFormat="1" applyFont="1" applyFill="1" applyBorder="1" applyAlignment="1" applyProtection="1">
      <alignment horizontal="left" vertical="center" wrapText="1"/>
      <protection locked="0"/>
    </xf>
    <xf numFmtId="49" fontId="11" fillId="2" borderId="11" xfId="0" applyNumberFormat="1" applyFont="1" applyFill="1" applyBorder="1" applyAlignment="1" applyProtection="1">
      <alignment horizontal="left" vertical="center" wrapText="1"/>
      <protection locked="0"/>
    </xf>
    <xf numFmtId="0" fontId="25" fillId="5" borderId="2" xfId="0" applyFont="1" applyFill="1" applyBorder="1" applyAlignment="1">
      <alignment horizontal="center" vertical="center" wrapText="1"/>
    </xf>
    <xf numFmtId="0" fontId="25" fillId="5" borderId="9"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25" fillId="4" borderId="2" xfId="0" applyFont="1" applyFill="1" applyBorder="1" applyAlignment="1">
      <alignment horizontal="left" vertical="center" wrapText="1"/>
    </xf>
    <xf numFmtId="0" fontId="25" fillId="4" borderId="3" xfId="0" applyFont="1" applyFill="1" applyBorder="1" applyAlignment="1">
      <alignment horizontal="left" vertical="center" wrapText="1"/>
    </xf>
    <xf numFmtId="0" fontId="33" fillId="0" borderId="28" xfId="0" applyFont="1" applyBorder="1" applyAlignment="1">
      <alignment horizontal="left" vertical="center" wrapText="1"/>
    </xf>
    <xf numFmtId="0" fontId="33" fillId="0" borderId="29" xfId="0" applyFont="1" applyBorder="1" applyAlignment="1">
      <alignment horizontal="left" vertical="center" wrapText="1"/>
    </xf>
    <xf numFmtId="0" fontId="33" fillId="0" borderId="30" xfId="0" applyFont="1" applyBorder="1" applyAlignment="1">
      <alignment horizontal="left" vertical="center" wrapText="1"/>
    </xf>
    <xf numFmtId="0" fontId="33" fillId="0" borderId="13" xfId="0" applyFont="1" applyBorder="1" applyAlignment="1">
      <alignment horizontal="left" vertical="center" wrapText="1"/>
    </xf>
    <xf numFmtId="0" fontId="33" fillId="0" borderId="0" xfId="0" applyFont="1" applyAlignment="1">
      <alignment horizontal="left" vertical="center" wrapText="1"/>
    </xf>
    <xf numFmtId="0" fontId="33" fillId="0" borderId="31" xfId="0" applyFont="1" applyBorder="1" applyAlignment="1">
      <alignment horizontal="left" vertical="center" wrapText="1"/>
    </xf>
    <xf numFmtId="0" fontId="33" fillId="0" borderId="12" xfId="0" applyFont="1" applyBorder="1" applyAlignment="1">
      <alignment horizontal="left" vertical="center" wrapText="1"/>
    </xf>
    <xf numFmtId="0" fontId="33" fillId="0" borderId="10" xfId="0" applyFont="1" applyBorder="1" applyAlignment="1">
      <alignment horizontal="left" vertical="center" wrapText="1"/>
    </xf>
    <xf numFmtId="0" fontId="33" fillId="0" borderId="11" xfId="0" applyFont="1" applyBorder="1" applyAlignment="1">
      <alignment horizontal="left" vertical="center" wrapText="1"/>
    </xf>
    <xf numFmtId="0" fontId="48" fillId="3" borderId="15" xfId="0" applyFont="1" applyFill="1" applyBorder="1" applyAlignment="1">
      <alignment horizontal="center" vertical="center" wrapText="1"/>
    </xf>
    <xf numFmtId="0" fontId="48" fillId="3" borderId="0" xfId="0" applyFont="1" applyFill="1" applyAlignment="1">
      <alignment horizontal="center" vertical="center" wrapText="1"/>
    </xf>
    <xf numFmtId="49" fontId="29" fillId="2" borderId="2" xfId="0" applyNumberFormat="1" applyFont="1" applyFill="1" applyBorder="1" applyAlignment="1" applyProtection="1">
      <alignment horizontal="left" vertical="center"/>
      <protection locked="0"/>
    </xf>
    <xf numFmtId="49" fontId="29" fillId="2" borderId="9" xfId="0" applyNumberFormat="1" applyFont="1" applyFill="1" applyBorder="1" applyAlignment="1" applyProtection="1">
      <alignment horizontal="left" vertical="center"/>
      <protection locked="0"/>
    </xf>
    <xf numFmtId="49" fontId="29" fillId="2" borderId="3" xfId="0" applyNumberFormat="1" applyFont="1" applyFill="1" applyBorder="1" applyAlignment="1" applyProtection="1">
      <alignment horizontal="left" vertical="center"/>
      <protection locked="0"/>
    </xf>
    <xf numFmtId="0" fontId="48" fillId="3" borderId="0" xfId="12" applyFont="1" applyFill="1" applyBorder="1" applyAlignment="1" applyProtection="1">
      <alignment horizontal="left"/>
    </xf>
    <xf numFmtId="0" fontId="25" fillId="0" borderId="0" xfId="0" applyFont="1" applyAlignment="1">
      <alignment horizontal="left" wrapText="1"/>
    </xf>
    <xf numFmtId="0" fontId="25" fillId="0" borderId="10" xfId="0" applyFont="1" applyBorder="1" applyAlignment="1">
      <alignment horizontal="left" vertical="center" wrapText="1"/>
    </xf>
    <xf numFmtId="0" fontId="32" fillId="18" borderId="25" xfId="0" applyFont="1" applyFill="1" applyBorder="1" applyAlignment="1">
      <alignment horizontal="center" vertical="center"/>
    </xf>
    <xf numFmtId="0" fontId="32" fillId="18" borderId="26" xfId="0" applyFont="1" applyFill="1" applyBorder="1" applyAlignment="1">
      <alignment horizontal="center" vertical="center"/>
    </xf>
    <xf numFmtId="0" fontId="32" fillId="18" borderId="27" xfId="0" applyFont="1" applyFill="1" applyBorder="1" applyAlignment="1">
      <alignment horizontal="center" vertical="center"/>
    </xf>
    <xf numFmtId="0" fontId="32" fillId="18" borderId="15" xfId="0" applyFont="1" applyFill="1" applyBorder="1" applyAlignment="1">
      <alignment horizontal="center" vertical="center"/>
    </xf>
    <xf numFmtId="0" fontId="32" fillId="18" borderId="0" xfId="0" applyFont="1" applyFill="1" applyAlignment="1">
      <alignment horizontal="center" vertical="center"/>
    </xf>
    <xf numFmtId="0" fontId="32" fillId="18" borderId="21" xfId="0" applyFont="1" applyFill="1" applyBorder="1" applyAlignment="1">
      <alignment horizontal="center" vertical="center"/>
    </xf>
    <xf numFmtId="0" fontId="39" fillId="5" borderId="43" xfId="0" applyFont="1" applyFill="1" applyBorder="1" applyAlignment="1">
      <alignment horizontal="center" vertical="center"/>
    </xf>
    <xf numFmtId="0" fontId="39" fillId="5" borderId="33" xfId="0" applyFont="1" applyFill="1" applyBorder="1" applyAlignment="1">
      <alignment horizontal="center" vertical="center"/>
    </xf>
    <xf numFmtId="0" fontId="39" fillId="5" borderId="34" xfId="0" applyFont="1" applyFill="1" applyBorder="1" applyAlignment="1">
      <alignment horizontal="center" vertical="center"/>
    </xf>
    <xf numFmtId="0" fontId="58" fillId="5" borderId="43" xfId="0" applyFont="1" applyFill="1" applyBorder="1" applyAlignment="1">
      <alignment horizontal="center" vertical="center" wrapText="1"/>
    </xf>
    <xf numFmtId="0" fontId="58" fillId="5" borderId="33" xfId="0" applyFont="1" applyFill="1" applyBorder="1" applyAlignment="1">
      <alignment horizontal="center" vertical="center" wrapText="1"/>
    </xf>
    <xf numFmtId="0" fontId="58" fillId="5" borderId="34" xfId="0" applyFont="1" applyFill="1" applyBorder="1" applyAlignment="1">
      <alignment horizontal="center" vertical="center" wrapText="1"/>
    </xf>
    <xf numFmtId="0" fontId="32" fillId="18" borderId="65" xfId="0" applyFont="1" applyFill="1" applyBorder="1" applyAlignment="1">
      <alignment horizontal="center" vertical="center" wrapText="1"/>
    </xf>
    <xf numFmtId="0" fontId="32" fillId="18" borderId="66" xfId="0" applyFont="1" applyFill="1" applyBorder="1" applyAlignment="1">
      <alignment horizontal="center" vertical="center" wrapText="1"/>
    </xf>
    <xf numFmtId="0" fontId="32" fillId="18" borderId="67" xfId="0" applyFont="1" applyFill="1" applyBorder="1" applyAlignment="1">
      <alignment horizontal="center" vertical="center" wrapText="1"/>
    </xf>
    <xf numFmtId="0" fontId="32" fillId="18" borderId="1" xfId="0" applyFont="1" applyFill="1" applyBorder="1" applyAlignment="1">
      <alignment horizontal="center" vertical="center" wrapText="1"/>
    </xf>
    <xf numFmtId="0" fontId="25" fillId="0" borderId="25" xfId="0" applyFont="1" applyBorder="1" applyAlignment="1">
      <alignment horizontal="left" vertical="center" wrapText="1"/>
    </xf>
    <xf numFmtId="0" fontId="25" fillId="0" borderId="26" xfId="0" applyFont="1" applyBorder="1" applyAlignment="1">
      <alignment horizontal="left" vertical="center" wrapText="1"/>
    </xf>
    <xf numFmtId="0" fontId="25" fillId="0" borderId="27" xfId="0" applyFont="1"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25" fillId="0" borderId="24" xfId="0" applyFont="1" applyBorder="1" applyAlignment="1">
      <alignment horizontal="left" vertical="center" wrapText="1"/>
    </xf>
    <xf numFmtId="0" fontId="58" fillId="0" borderId="0" xfId="0" applyFont="1" applyAlignment="1">
      <alignment horizontal="center"/>
    </xf>
    <xf numFmtId="0" fontId="25" fillId="0" borderId="15" xfId="0" applyFont="1" applyBorder="1" applyAlignment="1">
      <alignment horizontal="left" vertical="center" wrapText="1"/>
    </xf>
    <xf numFmtId="0" fontId="25" fillId="0" borderId="21" xfId="0" applyFont="1" applyBorder="1" applyAlignment="1">
      <alignment horizontal="left" vertical="center" wrapText="1"/>
    </xf>
    <xf numFmtId="0" fontId="115" fillId="0" borderId="0" xfId="0" applyFont="1" applyAlignment="1">
      <alignment horizontal="left"/>
    </xf>
    <xf numFmtId="0" fontId="122" fillId="30" borderId="85" xfId="12" applyFont="1" applyFill="1" applyBorder="1" applyAlignment="1" applyProtection="1">
      <alignment horizontal="center"/>
    </xf>
    <xf numFmtId="0" fontId="122" fillId="30" borderId="86" xfId="12" applyFont="1" applyFill="1" applyBorder="1" applyAlignment="1" applyProtection="1">
      <alignment horizontal="center"/>
    </xf>
    <xf numFmtId="0" fontId="122" fillId="30" borderId="90" xfId="12" applyFont="1" applyFill="1" applyBorder="1" applyAlignment="1" applyProtection="1">
      <alignment horizontal="center"/>
    </xf>
    <xf numFmtId="0" fontId="119" fillId="0" borderId="83" xfId="0" applyFont="1" applyBorder="1" applyAlignment="1">
      <alignment horizontal="left" vertical="center" wrapText="1"/>
    </xf>
    <xf numFmtId="0" fontId="119" fillId="0" borderId="84" xfId="0" applyFont="1" applyBorder="1" applyAlignment="1">
      <alignment horizontal="left" vertical="center" wrapText="1"/>
    </xf>
    <xf numFmtId="0" fontId="119" fillId="0" borderId="89" xfId="0" applyFont="1" applyBorder="1" applyAlignment="1">
      <alignment horizontal="left" vertical="center" wrapText="1"/>
    </xf>
    <xf numFmtId="0" fontId="122" fillId="30" borderId="25" xfId="12" applyFont="1" applyFill="1" applyBorder="1" applyAlignment="1" applyProtection="1">
      <alignment horizontal="center"/>
    </xf>
    <xf numFmtId="0" fontId="122" fillId="30" borderId="26" xfId="12" applyFont="1" applyFill="1" applyBorder="1" applyAlignment="1" applyProtection="1">
      <alignment horizontal="center"/>
    </xf>
    <xf numFmtId="0" fontId="122" fillId="30" borderId="27" xfId="12" applyFont="1" applyFill="1" applyBorder="1" applyAlignment="1" applyProtection="1">
      <alignment horizontal="center"/>
    </xf>
    <xf numFmtId="0" fontId="122" fillId="30" borderId="22" xfId="12" applyFont="1" applyFill="1" applyBorder="1" applyAlignment="1" applyProtection="1">
      <alignment horizontal="center"/>
    </xf>
    <xf numFmtId="0" fontId="122" fillId="30" borderId="23" xfId="12" applyFont="1" applyFill="1" applyBorder="1" applyAlignment="1" applyProtection="1">
      <alignment horizontal="center"/>
    </xf>
    <xf numFmtId="0" fontId="122" fillId="30" borderId="24" xfId="12" applyFont="1" applyFill="1" applyBorder="1" applyAlignment="1" applyProtection="1">
      <alignment horizontal="center"/>
    </xf>
    <xf numFmtId="0" fontId="25" fillId="0" borderId="21" xfId="0" applyFont="1" applyBorder="1" applyAlignment="1">
      <alignment horizontal="center" wrapText="1"/>
    </xf>
    <xf numFmtId="0" fontId="75" fillId="11" borderId="15" xfId="0" applyFont="1" applyFill="1" applyBorder="1" applyAlignment="1">
      <alignment horizontal="center"/>
    </xf>
    <xf numFmtId="0" fontId="75" fillId="11" borderId="0" xfId="0" applyFont="1" applyFill="1" applyAlignment="1">
      <alignment horizontal="center"/>
    </xf>
    <xf numFmtId="0" fontId="48" fillId="3" borderId="25" xfId="12" applyFont="1" applyFill="1" applyBorder="1" applyAlignment="1" applyProtection="1">
      <alignment horizontal="center"/>
    </xf>
    <xf numFmtId="0" fontId="48" fillId="3" borderId="26" xfId="12" applyFont="1" applyFill="1" applyBorder="1" applyAlignment="1" applyProtection="1">
      <alignment horizontal="center"/>
    </xf>
    <xf numFmtId="0" fontId="48" fillId="3" borderId="15" xfId="12" applyFont="1" applyFill="1" applyBorder="1" applyAlignment="1" applyProtection="1">
      <alignment horizontal="center"/>
    </xf>
    <xf numFmtId="0" fontId="48" fillId="3" borderId="22" xfId="12" applyFont="1" applyFill="1" applyBorder="1" applyAlignment="1" applyProtection="1">
      <alignment horizontal="center"/>
    </xf>
    <xf numFmtId="0" fontId="48" fillId="3" borderId="23" xfId="12" applyFont="1" applyFill="1" applyBorder="1" applyAlignment="1" applyProtection="1">
      <alignment horizontal="center"/>
    </xf>
    <xf numFmtId="0" fontId="48" fillId="3" borderId="24" xfId="12" applyFont="1" applyFill="1" applyBorder="1" applyAlignment="1" applyProtection="1">
      <alignment horizontal="center"/>
    </xf>
    <xf numFmtId="0" fontId="25" fillId="11" borderId="54" xfId="0" applyFont="1" applyFill="1" applyBorder="1" applyAlignment="1">
      <alignment horizontal="left" wrapText="1"/>
    </xf>
    <xf numFmtId="0" fontId="25" fillId="11" borderId="55" xfId="0" applyFont="1" applyFill="1" applyBorder="1" applyAlignment="1">
      <alignment horizontal="left" wrapText="1"/>
    </xf>
    <xf numFmtId="49" fontId="4" fillId="2" borderId="81" xfId="13" applyNumberFormat="1" applyFont="1" applyFill="1" applyBorder="1" applyAlignment="1" applyProtection="1">
      <alignment horizontal="center"/>
      <protection locked="0"/>
    </xf>
    <xf numFmtId="49" fontId="4" fillId="2" borderId="59" xfId="13" applyNumberFormat="1" applyFont="1" applyFill="1" applyBorder="1" applyAlignment="1" applyProtection="1">
      <alignment horizontal="center"/>
      <protection locked="0"/>
    </xf>
    <xf numFmtId="0" fontId="33" fillId="0" borderId="16" xfId="0" applyFont="1" applyBorder="1" applyAlignment="1">
      <alignment horizontal="left" vertical="center" wrapText="1"/>
    </xf>
    <xf numFmtId="0" fontId="33" fillId="0" borderId="18" xfId="0" applyFont="1" applyBorder="1" applyAlignment="1">
      <alignment horizontal="left" vertical="center" wrapText="1"/>
    </xf>
    <xf numFmtId="0" fontId="25" fillId="11" borderId="15" xfId="0" applyFont="1" applyFill="1" applyBorder="1" applyAlignment="1">
      <alignment horizontal="left" wrapText="1"/>
    </xf>
    <xf numFmtId="0" fontId="25" fillId="11" borderId="0" xfId="0" applyFont="1" applyFill="1" applyAlignment="1">
      <alignment horizontal="left" wrapText="1"/>
    </xf>
    <xf numFmtId="0" fontId="25" fillId="11" borderId="22" xfId="0" applyFont="1" applyFill="1" applyBorder="1" applyAlignment="1">
      <alignment horizontal="left" wrapText="1"/>
    </xf>
    <xf numFmtId="0" fontId="25" fillId="11" borderId="23" xfId="0" applyFont="1" applyFill="1" applyBorder="1" applyAlignment="1">
      <alignment horizontal="left" wrapText="1"/>
    </xf>
    <xf numFmtId="44" fontId="45" fillId="20" borderId="69" xfId="7" applyFont="1" applyFill="1" applyBorder="1" applyAlignment="1" applyProtection="1">
      <alignment vertical="center"/>
    </xf>
    <xf numFmtId="44" fontId="45" fillId="20" borderId="60" xfId="7" applyFont="1" applyFill="1" applyBorder="1" applyAlignment="1" applyProtection="1">
      <alignment vertical="center"/>
    </xf>
    <xf numFmtId="0" fontId="25" fillId="0" borderId="2" xfId="0" applyFont="1" applyBorder="1" applyAlignment="1">
      <alignment horizontal="left" indent="1"/>
    </xf>
    <xf numFmtId="0" fontId="25" fillId="0" borderId="3" xfId="0" applyFont="1" applyBorder="1" applyAlignment="1">
      <alignment horizontal="left" indent="1"/>
    </xf>
    <xf numFmtId="0" fontId="25" fillId="0" borderId="2" xfId="0" applyFont="1" applyBorder="1" applyAlignment="1">
      <alignment horizontal="right"/>
    </xf>
    <xf numFmtId="0" fontId="25" fillId="0" borderId="3" xfId="0" applyFont="1" applyBorder="1" applyAlignment="1">
      <alignment horizontal="right"/>
    </xf>
    <xf numFmtId="0" fontId="11" fillId="0" borderId="1" xfId="0" applyFont="1" applyBorder="1" applyAlignment="1">
      <alignment horizontal="left" vertical="top"/>
    </xf>
    <xf numFmtId="0" fontId="11" fillId="0" borderId="1" xfId="0" applyFont="1" applyBorder="1" applyAlignment="1">
      <alignment horizontal="right" vertical="top"/>
    </xf>
    <xf numFmtId="0" fontId="32" fillId="3" borderId="3" xfId="0" applyFont="1" applyFill="1" applyBorder="1" applyAlignment="1">
      <alignment horizontal="center" vertical="center"/>
    </xf>
    <xf numFmtId="0" fontId="32" fillId="3" borderId="1" xfId="0" applyFont="1" applyFill="1" applyBorder="1" applyAlignment="1">
      <alignment horizontal="center" vertical="center"/>
    </xf>
    <xf numFmtId="0" fontId="25" fillId="0" borderId="1" xfId="0" applyFont="1" applyBorder="1" applyAlignment="1">
      <alignment horizontal="left" vertical="center"/>
    </xf>
    <xf numFmtId="0" fontId="110" fillId="3" borderId="43" xfId="0" applyFont="1" applyFill="1" applyBorder="1" applyAlignment="1">
      <alignment horizontal="center"/>
    </xf>
    <xf numFmtId="0" fontId="110" fillId="3" borderId="33" xfId="0" applyFont="1" applyFill="1" applyBorder="1" applyAlignment="1">
      <alignment horizontal="center"/>
    </xf>
    <xf numFmtId="0" fontId="110" fillId="3" borderId="34" xfId="0" applyFont="1" applyFill="1" applyBorder="1" applyAlignment="1">
      <alignment horizontal="center"/>
    </xf>
    <xf numFmtId="0" fontId="48" fillId="3" borderId="15" xfId="0" applyFont="1" applyFill="1" applyBorder="1" applyAlignment="1">
      <alignment horizontal="center"/>
    </xf>
    <xf numFmtId="0" fontId="48" fillId="3" borderId="0" xfId="0" applyFont="1" applyFill="1" applyAlignment="1">
      <alignment horizontal="center"/>
    </xf>
    <xf numFmtId="1" fontId="48" fillId="3" borderId="22" xfId="0" applyNumberFormat="1" applyFont="1" applyFill="1" applyBorder="1" applyAlignment="1">
      <alignment horizontal="center"/>
    </xf>
    <xf numFmtId="0" fontId="48" fillId="3" borderId="23" xfId="0" applyFont="1" applyFill="1" applyBorder="1" applyAlignment="1">
      <alignment horizontal="center"/>
    </xf>
    <xf numFmtId="0" fontId="25" fillId="0" borderId="1" xfId="0" applyFont="1" applyBorder="1"/>
    <xf numFmtId="0" fontId="45" fillId="3" borderId="43" xfId="0" applyFont="1" applyFill="1" applyBorder="1" applyAlignment="1">
      <alignment horizontal="center" vertical="center" wrapText="1"/>
    </xf>
    <xf numFmtId="0" fontId="45" fillId="3" borderId="52" xfId="0" applyFont="1" applyFill="1" applyBorder="1" applyAlignment="1">
      <alignment horizontal="center" vertical="center" wrapText="1"/>
    </xf>
    <xf numFmtId="0" fontId="48" fillId="3" borderId="43" xfId="0" applyFont="1" applyFill="1" applyBorder="1" applyAlignment="1">
      <alignment horizontal="center" vertical="center"/>
    </xf>
    <xf numFmtId="0" fontId="48" fillId="3" borderId="33" xfId="0" applyFont="1" applyFill="1" applyBorder="1" applyAlignment="1">
      <alignment horizontal="center" vertical="center"/>
    </xf>
    <xf numFmtId="0" fontId="25" fillId="0" borderId="6" xfId="0" applyFont="1" applyBorder="1"/>
    <xf numFmtId="0" fontId="25" fillId="0" borderId="1" xfId="0" applyFont="1" applyBorder="1" applyAlignment="1">
      <alignment horizontal="left" indent="1"/>
    </xf>
    <xf numFmtId="0" fontId="110" fillId="3" borderId="25" xfId="0" applyFont="1" applyFill="1" applyBorder="1" applyAlignment="1">
      <alignment horizontal="center"/>
    </xf>
    <xf numFmtId="0" fontId="110" fillId="3" borderId="26" xfId="0" applyFont="1" applyFill="1" applyBorder="1" applyAlignment="1">
      <alignment horizontal="center"/>
    </xf>
    <xf numFmtId="0" fontId="110" fillId="3" borderId="27" xfId="0" applyFont="1" applyFill="1" applyBorder="1" applyAlignment="1">
      <alignment horizontal="center"/>
    </xf>
    <xf numFmtId="0" fontId="45" fillId="3" borderId="43" xfId="0" applyFont="1" applyFill="1" applyBorder="1" applyAlignment="1">
      <alignment horizontal="center"/>
    </xf>
    <xf numFmtId="0" fontId="45" fillId="3" borderId="33" xfId="0" applyFont="1" applyFill="1" applyBorder="1" applyAlignment="1">
      <alignment horizontal="center"/>
    </xf>
    <xf numFmtId="0" fontId="45" fillId="3" borderId="34" xfId="0" applyFont="1" applyFill="1" applyBorder="1" applyAlignment="1">
      <alignment horizontal="center"/>
    </xf>
    <xf numFmtId="0" fontId="48" fillId="3" borderId="21" xfId="0" applyFont="1" applyFill="1" applyBorder="1" applyAlignment="1">
      <alignment horizontal="center"/>
    </xf>
    <xf numFmtId="0" fontId="48" fillId="3" borderId="22" xfId="0" applyFont="1" applyFill="1" applyBorder="1" applyAlignment="1">
      <alignment horizontal="center"/>
    </xf>
    <xf numFmtId="0" fontId="48" fillId="3" borderId="24" xfId="0" applyFont="1" applyFill="1" applyBorder="1" applyAlignment="1">
      <alignment horizontal="center"/>
    </xf>
    <xf numFmtId="0" fontId="110" fillId="3" borderId="25" xfId="0" applyFont="1" applyFill="1" applyBorder="1" applyAlignment="1">
      <alignment horizontal="center" wrapText="1"/>
    </xf>
    <xf numFmtId="0" fontId="110" fillId="3" borderId="22" xfId="0" applyFont="1" applyFill="1" applyBorder="1" applyAlignment="1">
      <alignment horizontal="center"/>
    </xf>
    <xf numFmtId="0" fontId="110" fillId="3" borderId="23" xfId="0" applyFont="1" applyFill="1" applyBorder="1" applyAlignment="1">
      <alignment horizontal="center"/>
    </xf>
    <xf numFmtId="0" fontId="110" fillId="3" borderId="24" xfId="0" applyFont="1" applyFill="1" applyBorder="1" applyAlignment="1">
      <alignment horizontal="center"/>
    </xf>
    <xf numFmtId="0" fontId="110" fillId="3" borderId="0" xfId="0" applyFont="1" applyFill="1" applyAlignment="1">
      <alignment horizontal="center"/>
    </xf>
    <xf numFmtId="0" fontId="110" fillId="3" borderId="15" xfId="0" applyFont="1" applyFill="1" applyBorder="1" applyAlignment="1">
      <alignment horizontal="center"/>
    </xf>
    <xf numFmtId="43" fontId="94" fillId="0" borderId="0" xfId="13" applyFont="1" applyFill="1" applyBorder="1" applyAlignment="1" applyProtection="1">
      <alignment horizontal="center" vertical="top" wrapText="1"/>
    </xf>
    <xf numFmtId="0" fontId="52" fillId="11" borderId="26" xfId="12" applyFont="1" applyFill="1" applyBorder="1" applyAlignment="1" applyProtection="1">
      <alignment horizontal="center"/>
    </xf>
    <xf numFmtId="164" fontId="21" fillId="0" borderId="1" xfId="0" applyNumberFormat="1" applyFont="1" applyBorder="1" applyAlignment="1">
      <alignment horizontal="center"/>
    </xf>
    <xf numFmtId="0" fontId="0" fillId="0" borderId="1" xfId="0" applyBorder="1" applyAlignment="1">
      <alignment horizontal="center"/>
    </xf>
    <xf numFmtId="0" fontId="54" fillId="0" borderId="1" xfId="0" applyFont="1" applyBorder="1" applyAlignment="1">
      <alignment horizontal="center"/>
    </xf>
  </cellXfs>
  <cellStyles count="14">
    <cellStyle name="Comma" xfId="13" builtinId="3"/>
    <cellStyle name="Currency" xfId="7" builtinId="4"/>
    <cellStyle name="Currency 2" xfId="8" xr:uid="{1F3C72DD-BD59-453B-8A5C-8BA75C64C25D}"/>
    <cellStyle name="Explanatory Text" xfId="4" builtinId="53"/>
    <cellStyle name="Explanatory Text 2" xfId="11" xr:uid="{0CA7D270-A079-484C-A3E1-F09F103F5147}"/>
    <cellStyle name="Hyperlink" xfId="5" builtinId="8"/>
    <cellStyle name="Input" xfId="2" builtinId="20"/>
    <cellStyle name="Input 2" xfId="9" xr:uid="{CB5182C8-7AC1-4463-99BD-7175D1A69075}"/>
    <cellStyle name="Normal" xfId="0" builtinId="0"/>
    <cellStyle name="Normal 2" xfId="6" xr:uid="{FCD38EFD-7DD6-4DAF-BA2A-A9EB2112FBCD}"/>
    <cellStyle name="Output" xfId="3" builtinId="21"/>
    <cellStyle name="Output 2" xfId="10" xr:uid="{69B0B1ED-49BB-468A-84C7-A1FC0785723C}"/>
    <cellStyle name="Percent" xfId="1" builtinId="5"/>
    <cellStyle name="Title 2" xfId="12" xr:uid="{CC81F9D9-D513-4985-B5A1-650F7810B27F}"/>
  </cellStyles>
  <dxfs count="54">
    <dxf>
      <fill>
        <patternFill>
          <bgColor rgb="FF00B05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patternType="solid">
          <bgColor theme="6" tint="0.79998168889431442"/>
        </patternFill>
      </fill>
    </dxf>
    <dxf>
      <fill>
        <patternFill>
          <bgColor theme="0" tint="-0.14996795556505021"/>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ont>
        <color rgb="FFFF0000"/>
      </font>
    </dxf>
    <dxf>
      <fill>
        <patternFill patternType="solid">
          <bgColor theme="6" tint="0.79998168889431442"/>
        </patternFill>
      </fill>
    </dxf>
    <dxf>
      <fill>
        <patternFill>
          <bgColor rgb="FFFF0000"/>
        </patternFill>
      </fill>
    </dxf>
    <dxf>
      <fill>
        <patternFill>
          <bgColor rgb="FFFF0000"/>
        </patternFill>
      </fill>
    </dxf>
    <dxf>
      <fill>
        <patternFill patternType="solid">
          <bgColor theme="6" tint="0.79998168889431442"/>
        </patternFill>
      </fill>
    </dxf>
    <dxf>
      <font>
        <color auto="1"/>
      </font>
      <fill>
        <patternFill>
          <bgColor theme="9" tint="0.79998168889431442"/>
        </patternFill>
      </fill>
    </dxf>
    <dxf>
      <fill>
        <patternFill>
          <bgColor theme="9" tint="0.79998168889431442"/>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
      <font>
        <color rgb="FFFF0000"/>
      </font>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ont>
        <b/>
        <i val="0"/>
        <strike val="0"/>
        <condense val="0"/>
        <extend val="0"/>
        <outline val="0"/>
        <shadow val="0"/>
        <u val="none"/>
        <vertAlign val="baseline"/>
        <sz val="12"/>
        <color theme="1"/>
        <name val="Calibri"/>
        <family val="2"/>
        <scheme val="minor"/>
      </font>
      <numFmt numFmtId="34" formatCode="_-&quot;$&quot;* #,##0.00_-;\-&quot;$&quot;* #,##0.00_-;_-&quot;$&quot;* &quot;-&quot;??_-;_-@_-"/>
      <border diagonalUp="0" diagonalDown="0" outline="0">
        <left/>
        <right/>
        <top style="thin">
          <color indexed="64"/>
        </top>
        <bottom/>
      </border>
    </dxf>
    <dxf>
      <font>
        <b/>
        <i val="0"/>
        <strike val="0"/>
        <condense val="0"/>
        <extend val="0"/>
        <outline val="0"/>
        <shadow val="0"/>
        <u val="none"/>
        <vertAlign val="baseline"/>
        <sz val="12"/>
        <color theme="1"/>
        <name val="Calibri"/>
        <family val="2"/>
        <scheme val="minor"/>
      </font>
      <numFmt numFmtId="34"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border>
        <top style="thin">
          <color indexed="64"/>
        </top>
      </border>
    </dxf>
    <dxf>
      <fill>
        <patternFill patternType="none">
          <fgColor indexed="64"/>
          <bgColor auto="1"/>
        </patternFill>
      </fill>
      <protection locked="1" hidden="0"/>
    </dxf>
    <dxf>
      <font>
        <strike val="0"/>
        <outline val="0"/>
        <shadow val="0"/>
        <u val="none"/>
        <vertAlign val="baseline"/>
        <sz val="12"/>
        <name val="Calibri"/>
        <family val="2"/>
        <scheme val="minor"/>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4</xdr:col>
      <xdr:colOff>132716</xdr:colOff>
      <xdr:row>40</xdr:row>
      <xdr:rowOff>95249</xdr:rowOff>
    </xdr:from>
    <xdr:to>
      <xdr:col>6</xdr:col>
      <xdr:colOff>1051560</xdr:colOff>
      <xdr:row>58</xdr:row>
      <xdr:rowOff>691</xdr:rowOff>
    </xdr:to>
    <xdr:sp macro="" textlink="">
      <xdr:nvSpPr>
        <xdr:cNvPr id="2" name="Arrow: Curved Up 1">
          <a:extLst>
            <a:ext uri="{FF2B5EF4-FFF2-40B4-BE49-F238E27FC236}">
              <a16:creationId xmlns:a16="http://schemas.microsoft.com/office/drawing/2014/main" id="{3D0A0745-D3FA-49F2-9562-D0096EFFDD75}"/>
            </a:ext>
          </a:extLst>
        </xdr:cNvPr>
        <xdr:cNvSpPr/>
      </xdr:nvSpPr>
      <xdr:spPr>
        <a:xfrm rot="16200000">
          <a:off x="6463954" y="8642061"/>
          <a:ext cx="3401117" cy="2099944"/>
        </a:xfrm>
        <a:prstGeom prst="curvedUpArrow">
          <a:avLst>
            <a:gd name="adj1" fmla="val 12472"/>
            <a:gd name="adj2" fmla="val 43661"/>
            <a:gd name="adj3" fmla="val 1954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AFE3\Safe3Folders\69451\Desktop\2025%20recon\Testcopy%20v3%20%20DecV2%20-%202025%20FAIR%20%20CWELCC%20OTEF%20RECON%20Single%20Site%20-%20.xlsx" TargetMode="External"/><Relationship Id="rId1" Type="http://schemas.openxmlformats.org/officeDocument/2006/relationships/externalLinkPath" Target="file:///\\SAFE3\Safe3Folders\69451\Desktop\2025%20recon\Testcopy%20v3%20%20DecV2%20-%202025%20FAIR%20%20CWELCC%20OTEF%20RECON%20Single%20Site%20-%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Human%20Services\HousingFinance\Financial%20Analysis%20&amp;%20Compliance\Housing%20Provider%20Reviews\Provider%20YE%20Reviews\Provider%20YE%20reconciliations\Provider%20YE%20starting%20in%202023\Juan\07%20Lom%20Nava%202023-24%20YE\AIR_Lom_Nava_2024.xlsm" TargetMode="External"/><Relationship Id="rId1" Type="http://schemas.openxmlformats.org/officeDocument/2006/relationships/externalLinkPath" Target="file:///K:\Human%20Services\HousingFinance\Financial%20Analysis%20&amp;%20Compliance\Housing%20Provider%20Reviews\Provider%20YE%20Reviews\Provider%20YE%20reconciliations\Provider%20YE%20starting%20in%202023\Juan\07%20Lom%20Nava%202023-24%20YE\AIR_Lom_Nava_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1. Identification"/>
      <sheetName val="A2.Allocation &amp; Operating Plan"/>
      <sheetName val="A3. Peel Region Grants"/>
      <sheetName val="4. KPIs"/>
      <sheetName val="A5. Financial Position"/>
      <sheetName val="A6. Operations"/>
      <sheetName val="A7. 2025 CWELCC &amp; OTEF Recon"/>
      <sheetName val="A8. GovGrants input"/>
      <sheetName val="A9. SummaryOfReconciliations "/>
      <sheetName val="A11.Licensee's SFR&amp; Attestation"/>
      <sheetName val="A12. YND Reconciliation"/>
      <sheetName val="Hide -Financial Health Score"/>
      <sheetName val="Hide- CSV 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0">
          <cell r="E20">
            <v>964142</v>
          </cell>
        </row>
        <row r="23">
          <cell r="E23">
            <v>1215269</v>
          </cell>
        </row>
        <row r="33">
          <cell r="E33">
            <v>1215269</v>
          </cell>
        </row>
      </sheetData>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WUDFsStorage"/>
      <sheetName val="A1 - Identification"/>
      <sheetName val="A2 - Mgmt Reps"/>
      <sheetName val="A3 - Fin Position"/>
      <sheetName val="A4 - Operations"/>
      <sheetName val="A5 - NonShelter"/>
      <sheetName val="A6 - Cap Reserve"/>
      <sheetName val="A7-UAD"/>
      <sheetName val="A8 - Rents "/>
      <sheetName val="A9 - Part VII HSA Subsidy"/>
      <sheetName val="A10 - 100% RGI SHRA Subsidy"/>
      <sheetName val="B1 - Revenue and Expenses"/>
      <sheetName val="B2-Non-Shelter"/>
      <sheetName val="B3 - Federal Unit Activity MNP"/>
      <sheetName val="B4 - Federal Subsidy - S95MNP"/>
      <sheetName val="C1 - Statistical"/>
      <sheetName val="C2 - Access"/>
      <sheetName val="D1 - Operating Reserve"/>
    </sheetNames>
    <sheetDataSet>
      <sheetData sheetId="0"/>
      <sheetData sheetId="1">
        <row r="10">
          <cell r="C10" t="str">
            <v>Lom Nava Housing Co-operative Inc.</v>
          </cell>
          <cell r="G10">
            <v>45473</v>
          </cell>
        </row>
        <row r="52">
          <cell r="C52" t="str">
            <v>MMAH 10/12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9ABF761-8635-49B5-ABB8-52216F9B3318}" name="Table13" displayName="Table13" ref="B20:D44" totalsRowCount="1" headerRowDxfId="53" dataDxfId="52" totalsRowDxfId="51" totalsRowBorderDxfId="50">
  <tableColumns count="3">
    <tableColumn id="1" xr3:uid="{03897965-07E2-4F53-AEFE-78CCBF3D6C4E}" name="EXPENSES " dataDxfId="49" totalsRowDxfId="48"/>
    <tableColumn id="2" xr3:uid="{AAE987F6-671F-4463-AFF4-CE2886E5BE6D}" name="Column1" dataDxfId="47" totalsRowDxfId="46"/>
    <tableColumn id="18" xr3:uid="{DBB174F4-13C7-40E9-8F23-B1B0BF5CA08E}" name="Amounts" dataDxfId="45" totalsRowDxfId="44"/>
  </tableColumns>
  <tableStyleInfo name="TableStyleMedium2" showFirstColumn="1"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eelregion.ca/business/early-years-child-care-providers/funding-support-resourc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navdip_atwal@hotmail.co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E90FC-451B-49AA-B54A-BAB3CAE5A8D0}">
  <sheetPr>
    <tabColor theme="9" tint="0.59999389629810485"/>
  </sheetPr>
  <dimension ref="A1:S117"/>
  <sheetViews>
    <sheetView showGridLines="0" tabSelected="1" zoomScaleNormal="100" workbookViewId="0">
      <selection activeCell="D6" sqref="D6"/>
    </sheetView>
  </sheetViews>
  <sheetFormatPr defaultRowHeight="14.5"/>
  <cols>
    <col min="1" max="1" width="2.6328125" customWidth="1"/>
    <col min="2" max="2" width="46" customWidth="1"/>
    <col min="3" max="3" width="7.81640625" customWidth="1"/>
    <col min="4" max="4" width="58" customWidth="1"/>
    <col min="5" max="5" width="9" style="3" customWidth="1"/>
    <col min="6" max="6" width="9.1796875" style="3" customWidth="1"/>
    <col min="7" max="7" width="29.6328125" style="3" customWidth="1"/>
    <col min="8" max="8" width="17" style="3" customWidth="1"/>
    <col min="9" max="9" width="9.453125" style="3" customWidth="1"/>
    <col min="10" max="10" width="27.81640625" style="3" customWidth="1"/>
    <col min="11" max="11" width="15.26953125" style="3" customWidth="1"/>
    <col min="12" max="12" width="11.453125" style="3" customWidth="1"/>
    <col min="13" max="18" width="9.1796875" style="3" customWidth="1"/>
  </cols>
  <sheetData>
    <row r="1" spans="1:19" s="3" customFormat="1" ht="26">
      <c r="B1" s="929" t="s">
        <v>93</v>
      </c>
      <c r="C1" s="930"/>
      <c r="D1" s="930"/>
      <c r="E1" s="930"/>
      <c r="F1" s="930"/>
      <c r="G1" s="930"/>
      <c r="H1" s="930"/>
      <c r="I1" s="930"/>
      <c r="J1" s="931"/>
      <c r="K1" s="284" t="s">
        <v>109</v>
      </c>
      <c r="L1" s="113" t="str">
        <f>IF(D13=0, " ",$D$13)</f>
        <v xml:space="preserve"> </v>
      </c>
    </row>
    <row r="2" spans="1:19" s="3" customFormat="1" ht="26.5" thickBot="1">
      <c r="B2" s="932" t="s">
        <v>370</v>
      </c>
      <c r="C2" s="933"/>
      <c r="D2" s="933"/>
      <c r="E2" s="933"/>
      <c r="F2" s="933"/>
      <c r="G2" s="933"/>
      <c r="H2" s="933"/>
      <c r="I2" s="933"/>
      <c r="J2" s="934"/>
      <c r="K2" s="284" t="s">
        <v>303</v>
      </c>
      <c r="L2" s="113" t="str">
        <f>'A6. Operations'!L2</f>
        <v>Please enter Ministry licence number on tab A6 row 7</v>
      </c>
    </row>
    <row r="3" spans="1:19" s="3" customFormat="1" ht="14.5" customHeight="1" thickBot="1">
      <c r="G3"/>
      <c r="H3"/>
      <c r="I3"/>
      <c r="S3" s="3" t="s">
        <v>351</v>
      </c>
    </row>
    <row r="4" spans="1:19" s="3" customFormat="1" ht="18.5">
      <c r="B4" s="942" t="s">
        <v>94</v>
      </c>
      <c r="C4" s="943"/>
      <c r="D4" s="943"/>
      <c r="E4" s="944"/>
      <c r="I4"/>
      <c r="J4"/>
      <c r="K4"/>
      <c r="L4"/>
      <c r="M4"/>
      <c r="N4"/>
      <c r="O4"/>
      <c r="P4"/>
      <c r="Q4"/>
    </row>
    <row r="5" spans="1:19" s="3" customFormat="1">
      <c r="B5" s="283"/>
      <c r="D5" s="297"/>
      <c r="E5" s="298"/>
      <c r="I5"/>
      <c r="J5"/>
      <c r="K5"/>
      <c r="L5"/>
      <c r="M5"/>
      <c r="N5"/>
      <c r="O5"/>
      <c r="P5"/>
      <c r="Q5"/>
    </row>
    <row r="6" spans="1:19" ht="15.5">
      <c r="A6" s="3"/>
      <c r="B6" s="299" t="s">
        <v>300</v>
      </c>
      <c r="C6" s="300" t="s">
        <v>95</v>
      </c>
      <c r="D6" s="289"/>
      <c r="E6" s="298"/>
      <c r="I6"/>
      <c r="J6"/>
      <c r="K6"/>
      <c r="L6"/>
      <c r="M6"/>
      <c r="N6"/>
      <c r="O6"/>
      <c r="P6"/>
      <c r="Q6"/>
    </row>
    <row r="7" spans="1:19" ht="15.5">
      <c r="A7" s="3"/>
      <c r="B7" s="299" t="s">
        <v>301</v>
      </c>
      <c r="C7" s="300" t="s">
        <v>96</v>
      </c>
      <c r="D7" s="289"/>
      <c r="E7" s="298"/>
      <c r="F7"/>
      <c r="G7"/>
      <c r="I7"/>
      <c r="J7"/>
      <c r="K7"/>
      <c r="L7"/>
      <c r="M7"/>
      <c r="N7"/>
      <c r="O7"/>
      <c r="P7"/>
      <c r="Q7"/>
    </row>
    <row r="8" spans="1:19" ht="15.5">
      <c r="A8" s="3"/>
      <c r="B8" s="299" t="s">
        <v>394</v>
      </c>
      <c r="C8" s="300" t="s">
        <v>97</v>
      </c>
      <c r="D8" s="291"/>
      <c r="E8" s="56"/>
      <c r="F8"/>
      <c r="G8"/>
      <c r="H8"/>
      <c r="I8"/>
      <c r="J8"/>
      <c r="K8"/>
      <c r="L8"/>
      <c r="M8"/>
      <c r="N8"/>
      <c r="O8"/>
      <c r="P8"/>
      <c r="Q8"/>
    </row>
    <row r="9" spans="1:19" ht="15.5">
      <c r="A9" s="3"/>
      <c r="B9" s="299" t="s">
        <v>98</v>
      </c>
      <c r="C9" s="300" t="s">
        <v>99</v>
      </c>
      <c r="D9" s="289"/>
      <c r="E9" s="56"/>
      <c r="F9"/>
      <c r="G9"/>
      <c r="H9"/>
      <c r="I9"/>
      <c r="J9"/>
      <c r="K9"/>
      <c r="L9"/>
      <c r="M9"/>
      <c r="N9"/>
      <c r="O9"/>
      <c r="P9"/>
      <c r="Q9"/>
    </row>
    <row r="10" spans="1:19" ht="15.5">
      <c r="A10" s="3"/>
      <c r="B10" s="299" t="s">
        <v>100</v>
      </c>
      <c r="C10" s="300" t="s">
        <v>101</v>
      </c>
      <c r="D10" s="289"/>
      <c r="E10" s="56"/>
      <c r="F10"/>
      <c r="G10"/>
      <c r="H10"/>
      <c r="I10"/>
      <c r="J10"/>
      <c r="K10"/>
      <c r="L10"/>
      <c r="M10"/>
      <c r="N10"/>
      <c r="O10"/>
      <c r="P10"/>
      <c r="Q10"/>
    </row>
    <row r="11" spans="1:19" ht="15.5">
      <c r="A11" s="3"/>
      <c r="B11" s="299" t="s">
        <v>102</v>
      </c>
      <c r="C11" s="300" t="s">
        <v>790</v>
      </c>
      <c r="D11" s="458"/>
      <c r="E11" s="298"/>
      <c r="I11"/>
      <c r="J11"/>
      <c r="K11"/>
      <c r="L11"/>
      <c r="M11"/>
      <c r="N11"/>
      <c r="O11"/>
      <c r="P11"/>
      <c r="Q11"/>
    </row>
    <row r="12" spans="1:19" ht="15.5">
      <c r="A12" s="3"/>
      <c r="B12" s="299" t="s">
        <v>778</v>
      </c>
      <c r="C12" s="300" t="s">
        <v>791</v>
      </c>
      <c r="D12" s="458"/>
      <c r="E12" s="56"/>
      <c r="F12"/>
      <c r="G12"/>
      <c r="I12"/>
      <c r="J12"/>
      <c r="K12"/>
      <c r="L12"/>
      <c r="M12"/>
      <c r="N12"/>
      <c r="O12"/>
      <c r="P12"/>
      <c r="Q12"/>
    </row>
    <row r="13" spans="1:19" ht="15.5">
      <c r="A13" s="3"/>
      <c r="B13" s="303" t="s">
        <v>109</v>
      </c>
      <c r="C13" s="300" t="s">
        <v>103</v>
      </c>
      <c r="D13" s="464"/>
      <c r="E13" s="298"/>
      <c r="I13"/>
      <c r="J13"/>
      <c r="K13"/>
      <c r="L13"/>
      <c r="M13"/>
      <c r="N13"/>
      <c r="O13"/>
      <c r="P13"/>
      <c r="Q13"/>
    </row>
    <row r="14" spans="1:19" ht="15.5">
      <c r="A14" s="3"/>
      <c r="B14" s="299" t="s">
        <v>738</v>
      </c>
      <c r="C14" s="300" t="s">
        <v>104</v>
      </c>
      <c r="D14" s="289"/>
      <c r="E14" s="298"/>
      <c r="I14"/>
      <c r="J14"/>
      <c r="K14"/>
      <c r="L14"/>
      <c r="M14"/>
      <c r="N14"/>
      <c r="O14"/>
      <c r="P14"/>
      <c r="Q14"/>
    </row>
    <row r="15" spans="1:19" ht="15.5">
      <c r="A15" s="3"/>
      <c r="B15" s="299" t="s">
        <v>739</v>
      </c>
      <c r="C15" s="300" t="s">
        <v>105</v>
      </c>
      <c r="D15" s="290"/>
      <c r="E15" s="298"/>
      <c r="I15"/>
      <c r="J15"/>
      <c r="K15"/>
      <c r="L15"/>
      <c r="M15"/>
      <c r="N15"/>
      <c r="O15"/>
      <c r="P15"/>
      <c r="Q15"/>
    </row>
    <row r="16" spans="1:19" ht="15.5">
      <c r="A16" s="3"/>
      <c r="B16" s="299" t="s">
        <v>740</v>
      </c>
      <c r="C16" s="300" t="s">
        <v>792</v>
      </c>
      <c r="D16" s="289"/>
      <c r="E16" s="298"/>
      <c r="I16"/>
      <c r="J16"/>
      <c r="K16"/>
      <c r="L16"/>
      <c r="M16"/>
      <c r="N16"/>
      <c r="O16"/>
      <c r="P16"/>
      <c r="Q16"/>
    </row>
    <row r="17" spans="1:17" ht="15.5">
      <c r="A17" s="3"/>
      <c r="B17" s="299" t="s">
        <v>741</v>
      </c>
      <c r="C17" s="300" t="s">
        <v>286</v>
      </c>
      <c r="D17" s="289"/>
      <c r="E17" s="298"/>
      <c r="I17"/>
      <c r="J17"/>
      <c r="K17"/>
      <c r="L17"/>
      <c r="M17"/>
      <c r="N17"/>
      <c r="O17"/>
      <c r="P17"/>
      <c r="Q17"/>
    </row>
    <row r="18" spans="1:17" ht="15" thickBot="1">
      <c r="A18" s="3"/>
      <c r="B18" s="283"/>
      <c r="C18" s="3"/>
      <c r="D18" s="3"/>
      <c r="E18" s="298"/>
      <c r="I18"/>
      <c r="J18"/>
      <c r="K18"/>
      <c r="L18"/>
      <c r="M18"/>
      <c r="N18"/>
      <c r="O18"/>
      <c r="P18"/>
      <c r="Q18"/>
    </row>
    <row r="19" spans="1:17" ht="19" thickBot="1">
      <c r="A19" s="3"/>
      <c r="B19" s="982" t="s">
        <v>611</v>
      </c>
      <c r="C19" s="983"/>
      <c r="D19" s="983"/>
      <c r="E19" s="984"/>
      <c r="I19"/>
      <c r="J19"/>
      <c r="K19"/>
      <c r="L19"/>
      <c r="M19"/>
      <c r="N19"/>
      <c r="O19"/>
      <c r="P19"/>
      <c r="Q19"/>
    </row>
    <row r="20" spans="1:17" ht="15" thickBot="1">
      <c r="A20" s="3"/>
      <c r="B20" s="304"/>
      <c r="C20" s="281" t="str">
        <f>IF(AND(D17="",'A6. Operations'!F7=""),"WARNING: Signing Officer and License Number are needed to complete attestation.","")</f>
        <v>WARNING: Signing Officer and License Number are needed to complete attestation.</v>
      </c>
      <c r="D20" s="282"/>
      <c r="E20" s="298"/>
      <c r="I20"/>
      <c r="J20"/>
      <c r="K20"/>
      <c r="L20"/>
      <c r="M20"/>
      <c r="N20"/>
      <c r="O20"/>
      <c r="P20"/>
      <c r="Q20"/>
    </row>
    <row r="21" spans="1:17" ht="15" customHeight="1">
      <c r="A21" s="3"/>
      <c r="B21" s="305" t="s">
        <v>813</v>
      </c>
      <c r="C21" s="945" t="str">
        <f>IF(D17="","","I, "&amp;D17&amp;", confirm that:")</f>
        <v/>
      </c>
      <c r="D21" s="946"/>
      <c r="E21" s="298"/>
      <c r="G21"/>
      <c r="I21"/>
      <c r="J21"/>
      <c r="K21"/>
      <c r="L21"/>
      <c r="M21"/>
      <c r="N21"/>
      <c r="O21"/>
      <c r="P21"/>
      <c r="Q21"/>
    </row>
    <row r="22" spans="1:17" ht="17.25" customHeight="1">
      <c r="A22" s="3"/>
      <c r="B22" s="78"/>
      <c r="C22" s="947" t="str">
        <f>'A11.Licensee''s SFR&amp; Attestation'!C92</f>
        <v xml:space="preserve"> I have signing authority with respect to licence # 0.</v>
      </c>
      <c r="D22" s="948"/>
      <c r="E22" s="298"/>
      <c r="F22"/>
      <c r="G22"/>
      <c r="H22"/>
    </row>
    <row r="23" spans="1:17" ht="69" customHeight="1">
      <c r="A23" s="3"/>
      <c r="B23" s="78"/>
      <c r="C23" s="949" t="str">
        <f>IF(C91="","","The information contained in this excel workbook for the reporting year "&amp;'A11.Licensee''s SFR&amp; Attestation'!F14&amp;" is accurate and a true reflection of the eligible costs incurred by the licensee for which cost-based funding was used.")</f>
        <v>The information contained in this excel workbook for the reporting year 2025 is accurate and a true reflection of the eligible costs incurred by the licensee for which cost-based funding was used.</v>
      </c>
      <c r="D23" s="950"/>
      <c r="E23" s="298"/>
      <c r="F23"/>
      <c r="G23"/>
      <c r="H23"/>
    </row>
    <row r="24" spans="1:17" ht="50.25" customHeight="1" thickBot="1">
      <c r="A24" s="3"/>
      <c r="B24" s="78"/>
      <c r="C24" s="951" t="str">
        <f>'A11.Licensee''s SFR&amp; Attestation'!C94</f>
        <v xml:space="preserve">Cost-based allocation funding was used by the licensee to cover eligible costs only in accordance with the parameters established by 0. </v>
      </c>
      <c r="D24" s="952"/>
      <c r="E24" s="298"/>
      <c r="F24"/>
      <c r="G24"/>
      <c r="H24" s="7"/>
      <c r="I24"/>
    </row>
    <row r="25" spans="1:17" ht="15.5">
      <c r="A25" s="3"/>
      <c r="B25" s="78"/>
      <c r="C25" s="14"/>
      <c r="D25" s="306"/>
      <c r="E25" s="298"/>
      <c r="F25"/>
      <c r="G25"/>
      <c r="H25" s="277"/>
      <c r="I25"/>
      <c r="J25"/>
    </row>
    <row r="26" spans="1:17" ht="15.5">
      <c r="A26" s="3"/>
      <c r="B26" s="307" t="s">
        <v>614</v>
      </c>
      <c r="C26" s="300" t="s">
        <v>796</v>
      </c>
      <c r="D26" s="465"/>
      <c r="E26" s="56"/>
      <c r="F26"/>
      <c r="G26"/>
      <c r="H26"/>
      <c r="I26"/>
    </row>
    <row r="27" spans="1:17" ht="15.5">
      <c r="A27" s="3"/>
      <c r="B27" s="308"/>
      <c r="C27" s="14"/>
      <c r="D27" s="87"/>
      <c r="E27" s="309"/>
      <c r="F27" s="278"/>
      <c r="G27" s="279"/>
      <c r="H27" s="279"/>
      <c r="I27" s="310"/>
    </row>
    <row r="28" spans="1:17" ht="15.5">
      <c r="A28" s="3"/>
      <c r="B28" s="307" t="s">
        <v>742</v>
      </c>
      <c r="C28" s="300" t="s">
        <v>302</v>
      </c>
      <c r="D28" s="466"/>
      <c r="E28" s="309"/>
      <c r="F28" s="280"/>
      <c r="G28" s="279"/>
      <c r="H28" s="279"/>
      <c r="I28" s="310"/>
    </row>
    <row r="29" spans="1:17" ht="15.5">
      <c r="A29" s="3"/>
      <c r="B29" s="308"/>
      <c r="C29" s="14"/>
      <c r="D29" s="14"/>
      <c r="E29" s="309"/>
      <c r="F29" s="279"/>
      <c r="G29" s="279"/>
      <c r="H29" s="279"/>
      <c r="I29" s="310"/>
    </row>
    <row r="30" spans="1:17" ht="15" thickBot="1">
      <c r="A30" s="3"/>
      <c r="B30" s="311"/>
      <c r="C30" s="312"/>
      <c r="D30" s="312"/>
      <c r="E30" s="313"/>
      <c r="F30" s="280"/>
      <c r="G30" s="280"/>
      <c r="H30" s="280"/>
      <c r="I30" s="310"/>
    </row>
    <row r="31" spans="1:17" ht="15" thickBot="1">
      <c r="A31" s="3"/>
      <c r="E31" s="8"/>
      <c r="F31" s="280"/>
      <c r="G31" s="280"/>
      <c r="H31" s="280"/>
      <c r="I31" s="310"/>
    </row>
    <row r="32" spans="1:17" ht="15" customHeight="1" thickBot="1">
      <c r="A32" s="3"/>
      <c r="B32" s="314" t="s">
        <v>838</v>
      </c>
      <c r="C32" s="979" t="s">
        <v>837</v>
      </c>
      <c r="D32" s="980"/>
      <c r="E32" s="981"/>
      <c r="F32" s="280"/>
      <c r="H32" s="280"/>
      <c r="I32" s="310"/>
    </row>
    <row r="33" spans="1:13">
      <c r="A33" s="3"/>
      <c r="E33" s="8"/>
      <c r="F33" s="280"/>
      <c r="G33" s="280"/>
      <c r="H33" s="280"/>
      <c r="I33" s="310"/>
    </row>
    <row r="34" spans="1:13" ht="15" thickBot="1">
      <c r="A34" s="3"/>
      <c r="C34" s="315"/>
      <c r="D34" s="3"/>
    </row>
    <row r="35" spans="1:13" s="3" customFormat="1" ht="17.5" customHeight="1" thickBot="1">
      <c r="A35" s="301"/>
      <c r="B35" s="991" t="s">
        <v>869</v>
      </c>
      <c r="C35" s="992"/>
      <c r="D35" s="992"/>
      <c r="E35" s="279"/>
    </row>
    <row r="36" spans="1:13" s="3" customFormat="1" ht="15" customHeight="1">
      <c r="A36" s="301"/>
      <c r="B36" s="301"/>
    </row>
    <row r="37" spans="1:13" s="3" customFormat="1" ht="20.149999999999999" customHeight="1">
      <c r="A37" s="301"/>
      <c r="B37" s="938" t="s">
        <v>743</v>
      </c>
      <c r="C37" s="938"/>
      <c r="D37" s="316" t="s">
        <v>327</v>
      </c>
      <c r="E37" s="938" t="s">
        <v>0</v>
      </c>
      <c r="F37" s="938"/>
      <c r="G37" s="938"/>
      <c r="H37" s="938"/>
      <c r="I37" s="938"/>
      <c r="J37" s="938"/>
      <c r="K37" s="938"/>
      <c r="L37" s="938"/>
      <c r="M37" s="938"/>
    </row>
    <row r="38" spans="1:13" s="3" customFormat="1" ht="47.15" customHeight="1">
      <c r="A38" s="301"/>
      <c r="B38" s="966" t="s">
        <v>331</v>
      </c>
      <c r="C38" s="966"/>
      <c r="D38" s="317" t="s">
        <v>328</v>
      </c>
      <c r="E38" s="935" t="s">
        <v>469</v>
      </c>
      <c r="F38" s="936"/>
      <c r="G38" s="936"/>
      <c r="H38" s="936"/>
      <c r="I38" s="936"/>
      <c r="J38" s="936"/>
      <c r="K38" s="936"/>
      <c r="L38" s="936"/>
      <c r="M38" s="937"/>
    </row>
    <row r="39" spans="1:13" s="3" customFormat="1" ht="33.65" customHeight="1">
      <c r="A39" s="301"/>
      <c r="B39" s="958" t="s">
        <v>329</v>
      </c>
      <c r="C39" s="959"/>
      <c r="D39" s="955" t="s">
        <v>328</v>
      </c>
      <c r="E39" s="935" t="s">
        <v>815</v>
      </c>
      <c r="F39" s="936"/>
      <c r="G39" s="936"/>
      <c r="H39" s="936"/>
      <c r="I39" s="936"/>
      <c r="J39" s="936"/>
      <c r="K39" s="936"/>
      <c r="L39" s="936"/>
      <c r="M39" s="937"/>
    </row>
    <row r="40" spans="1:13" s="3" customFormat="1">
      <c r="A40" s="301"/>
      <c r="B40" s="960"/>
      <c r="C40" s="961"/>
      <c r="D40" s="956"/>
      <c r="E40" s="972" t="s">
        <v>737</v>
      </c>
      <c r="F40" s="973"/>
      <c r="G40" s="973"/>
      <c r="H40" s="973"/>
      <c r="I40" s="973"/>
      <c r="J40" s="973"/>
      <c r="K40" s="973"/>
      <c r="L40" s="973"/>
      <c r="M40" s="974"/>
    </row>
    <row r="41" spans="1:13" s="3" customFormat="1" ht="53.15" customHeight="1">
      <c r="A41" s="301"/>
      <c r="B41" s="962"/>
      <c r="C41" s="963"/>
      <c r="D41" s="957"/>
      <c r="E41" s="975"/>
      <c r="F41" s="976"/>
      <c r="G41" s="976"/>
      <c r="H41" s="976"/>
      <c r="I41" s="976"/>
      <c r="J41" s="976"/>
      <c r="K41" s="976"/>
      <c r="L41" s="976"/>
      <c r="M41" s="977"/>
    </row>
    <row r="42" spans="1:13" s="320" customFormat="1" ht="57" customHeight="1">
      <c r="A42" s="318"/>
      <c r="B42" s="964" t="s">
        <v>400</v>
      </c>
      <c r="C42" s="964"/>
      <c r="D42" s="319" t="s">
        <v>328</v>
      </c>
      <c r="E42" s="935" t="s">
        <v>829</v>
      </c>
      <c r="F42" s="936"/>
      <c r="G42" s="936"/>
      <c r="H42" s="936"/>
      <c r="I42" s="936"/>
      <c r="J42" s="936"/>
      <c r="K42" s="936"/>
      <c r="L42" s="936"/>
      <c r="M42" s="937"/>
    </row>
    <row r="43" spans="1:13" s="320" customFormat="1" ht="32.15" customHeight="1">
      <c r="A43" s="318"/>
      <c r="B43" s="964" t="s">
        <v>939</v>
      </c>
      <c r="C43" s="964"/>
      <c r="D43" s="319" t="s">
        <v>328</v>
      </c>
      <c r="E43" s="935" t="s">
        <v>332</v>
      </c>
      <c r="F43" s="936"/>
      <c r="G43" s="936"/>
      <c r="H43" s="936"/>
      <c r="I43" s="936"/>
      <c r="J43" s="936"/>
      <c r="K43" s="936"/>
      <c r="L43" s="936"/>
      <c r="M43" s="937"/>
    </row>
    <row r="44" spans="1:13" s="320" customFormat="1" ht="32.15" customHeight="1">
      <c r="A44" s="318"/>
      <c r="B44" s="964" t="s">
        <v>793</v>
      </c>
      <c r="C44" s="964"/>
      <c r="D44" s="319" t="s">
        <v>328</v>
      </c>
      <c r="E44" s="935" t="s">
        <v>470</v>
      </c>
      <c r="F44" s="936"/>
      <c r="G44" s="936"/>
      <c r="H44" s="936"/>
      <c r="I44" s="936"/>
      <c r="J44" s="936"/>
      <c r="K44" s="936"/>
      <c r="L44" s="936"/>
      <c r="M44" s="937"/>
    </row>
    <row r="45" spans="1:13" s="320" customFormat="1" ht="38.5" customHeight="1">
      <c r="A45" s="318"/>
      <c r="B45" s="964" t="s">
        <v>794</v>
      </c>
      <c r="C45" s="964"/>
      <c r="D45" s="319" t="s">
        <v>328</v>
      </c>
      <c r="E45" s="935" t="s">
        <v>471</v>
      </c>
      <c r="F45" s="936"/>
      <c r="G45" s="936"/>
      <c r="H45" s="936"/>
      <c r="I45" s="936"/>
      <c r="J45" s="936"/>
      <c r="K45" s="936"/>
      <c r="L45" s="936"/>
      <c r="M45" s="937"/>
    </row>
    <row r="46" spans="1:13" s="320" customFormat="1" ht="32.15" customHeight="1">
      <c r="A46" s="318"/>
      <c r="B46" s="978" t="s">
        <v>795</v>
      </c>
      <c r="C46" s="978"/>
      <c r="D46" s="321" t="s">
        <v>333</v>
      </c>
      <c r="E46" s="935" t="s">
        <v>472</v>
      </c>
      <c r="F46" s="936"/>
      <c r="G46" s="936"/>
      <c r="H46" s="936"/>
      <c r="I46" s="936"/>
      <c r="J46" s="936"/>
      <c r="K46" s="936"/>
      <c r="L46" s="936"/>
      <c r="M46" s="937"/>
    </row>
    <row r="47" spans="1:13" s="320" customFormat="1" ht="39.75" customHeight="1">
      <c r="A47" s="318"/>
      <c r="B47" s="978" t="s">
        <v>453</v>
      </c>
      <c r="C47" s="978"/>
      <c r="D47" s="321" t="s">
        <v>333</v>
      </c>
      <c r="E47" s="935" t="s">
        <v>473</v>
      </c>
      <c r="F47" s="936"/>
      <c r="G47" s="936"/>
      <c r="H47" s="936"/>
      <c r="I47" s="936"/>
      <c r="J47" s="936"/>
      <c r="K47" s="936"/>
      <c r="L47" s="936"/>
      <c r="M47" s="937"/>
    </row>
    <row r="48" spans="1:13" s="323" customFormat="1" ht="54.75" customHeight="1">
      <c r="A48" s="322"/>
      <c r="B48" s="967" t="s">
        <v>945</v>
      </c>
      <c r="C48" s="968"/>
      <c r="D48" s="321" t="s">
        <v>848</v>
      </c>
      <c r="E48" s="969" t="s">
        <v>946</v>
      </c>
      <c r="F48" s="970"/>
      <c r="G48" s="970"/>
      <c r="H48" s="970"/>
      <c r="I48" s="970"/>
      <c r="J48" s="970"/>
      <c r="K48" s="970"/>
      <c r="L48" s="970"/>
      <c r="M48" s="971"/>
    </row>
    <row r="49" spans="1:18" s="323" customFormat="1" ht="39" customHeight="1">
      <c r="A49" s="322"/>
      <c r="B49" s="967" t="s">
        <v>401</v>
      </c>
      <c r="C49" s="968"/>
      <c r="D49" s="321" t="s">
        <v>402</v>
      </c>
      <c r="E49" s="969" t="s">
        <v>949</v>
      </c>
      <c r="F49" s="970"/>
      <c r="G49" s="970"/>
      <c r="H49" s="970"/>
      <c r="I49" s="970"/>
      <c r="J49" s="970"/>
      <c r="K49" s="970"/>
      <c r="L49" s="970"/>
      <c r="M49" s="971"/>
    </row>
    <row r="50" spans="1:18" s="323" customFormat="1" ht="39" customHeight="1">
      <c r="A50" s="322"/>
      <c r="B50" s="953" t="s">
        <v>780</v>
      </c>
      <c r="C50" s="954"/>
      <c r="D50" s="324" t="s">
        <v>402</v>
      </c>
      <c r="E50" s="985" t="s">
        <v>814</v>
      </c>
      <c r="F50" s="986"/>
      <c r="G50" s="986"/>
      <c r="H50" s="986"/>
      <c r="I50" s="986"/>
      <c r="J50" s="986"/>
      <c r="K50" s="986"/>
      <c r="L50" s="986"/>
      <c r="M50" s="987"/>
    </row>
    <row r="51" spans="1:18" s="323" customFormat="1" ht="39" customHeight="1">
      <c r="A51" s="322"/>
      <c r="B51" s="953" t="s">
        <v>781</v>
      </c>
      <c r="C51" s="954"/>
      <c r="D51" s="324" t="s">
        <v>402</v>
      </c>
      <c r="E51" s="988"/>
      <c r="F51" s="989"/>
      <c r="G51" s="989"/>
      <c r="H51" s="989"/>
      <c r="I51" s="989"/>
      <c r="J51" s="989"/>
      <c r="K51" s="989"/>
      <c r="L51" s="989"/>
      <c r="M51" s="990"/>
    </row>
    <row r="52" spans="1:18">
      <c r="A52" s="302"/>
      <c r="B52" s="302"/>
      <c r="N52"/>
      <c r="O52"/>
      <c r="P52"/>
      <c r="Q52"/>
      <c r="R52"/>
    </row>
    <row r="53" spans="1:18" ht="15" thickBot="1">
      <c r="A53" s="302"/>
      <c r="B53" s="302"/>
      <c r="N53"/>
      <c r="O53"/>
      <c r="P53"/>
      <c r="Q53"/>
      <c r="R53"/>
    </row>
    <row r="54" spans="1:18" ht="19" thickBot="1">
      <c r="B54" s="939" t="s">
        <v>106</v>
      </c>
      <c r="C54" s="940"/>
      <c r="D54" s="941"/>
      <c r="E54"/>
      <c r="F54"/>
      <c r="G54"/>
      <c r="H54"/>
      <c r="I54"/>
      <c r="J54"/>
      <c r="K54"/>
      <c r="L54"/>
      <c r="M54"/>
      <c r="N54"/>
      <c r="O54"/>
      <c r="P54"/>
      <c r="Q54"/>
    </row>
    <row r="55" spans="1:18">
      <c r="A55" s="3"/>
      <c r="B55" s="3"/>
      <c r="C55" s="3"/>
      <c r="D55" s="297"/>
      <c r="I55"/>
      <c r="J55"/>
      <c r="K55"/>
      <c r="L55"/>
      <c r="M55"/>
      <c r="N55"/>
      <c r="O55"/>
      <c r="P55"/>
      <c r="Q55"/>
    </row>
    <row r="56" spans="1:18">
      <c r="A56" s="3"/>
      <c r="B56" s="315" t="s">
        <v>107</v>
      </c>
      <c r="C56" s="3"/>
      <c r="D56" s="297"/>
    </row>
    <row r="57" spans="1:18">
      <c r="A57" s="3"/>
      <c r="B57" s="3"/>
      <c r="C57" s="3"/>
      <c r="D57" s="297"/>
      <c r="F57"/>
      <c r="G57"/>
      <c r="H57"/>
    </row>
    <row r="58" spans="1:18">
      <c r="A58" s="3"/>
      <c r="B58" s="325" t="s">
        <v>108</v>
      </c>
      <c r="C58" s="965"/>
      <c r="D58" s="965"/>
      <c r="F58"/>
      <c r="G58"/>
      <c r="H58"/>
    </row>
    <row r="59" spans="1:18">
      <c r="A59" s="3"/>
      <c r="B59" s="326" t="s">
        <v>110</v>
      </c>
      <c r="C59" s="327" t="s">
        <v>812</v>
      </c>
      <c r="D59" s="328"/>
      <c r="F59"/>
      <c r="G59"/>
      <c r="H59"/>
    </row>
    <row r="60" spans="1:18">
      <c r="A60" s="302"/>
      <c r="B60" s="302"/>
      <c r="N60"/>
      <c r="O60"/>
      <c r="P60"/>
      <c r="Q60"/>
      <c r="R60"/>
    </row>
    <row r="61" spans="1:18">
      <c r="A61" s="302"/>
      <c r="B61" s="302"/>
      <c r="N61"/>
      <c r="O61"/>
      <c r="P61"/>
      <c r="Q61"/>
      <c r="R61"/>
    </row>
    <row r="62" spans="1:18">
      <c r="A62" s="302"/>
      <c r="B62" s="302"/>
    </row>
    <row r="63" spans="1:18">
      <c r="A63" s="302"/>
      <c r="B63" s="302"/>
    </row>
    <row r="64" spans="1:18">
      <c r="A64" s="302"/>
      <c r="B64" s="302"/>
    </row>
    <row r="65" spans="1:9">
      <c r="A65" s="302"/>
      <c r="B65" s="302"/>
    </row>
    <row r="66" spans="1:9">
      <c r="A66" s="302"/>
      <c r="B66" s="302"/>
      <c r="E66"/>
      <c r="F66"/>
      <c r="G66"/>
      <c r="H66"/>
      <c r="I66"/>
    </row>
    <row r="67" spans="1:9">
      <c r="A67" s="302"/>
      <c r="B67" s="302"/>
      <c r="E67" s="329"/>
      <c r="F67" s="329"/>
      <c r="G67" s="329"/>
      <c r="H67" s="329"/>
      <c r="I67"/>
    </row>
    <row r="68" spans="1:9">
      <c r="A68" s="302"/>
      <c r="B68" s="302"/>
      <c r="E68"/>
      <c r="F68"/>
      <c r="G68"/>
      <c r="H68"/>
      <c r="I68"/>
    </row>
    <row r="69" spans="1:9">
      <c r="A69" s="302"/>
      <c r="B69" s="302"/>
      <c r="E69"/>
      <c r="F69"/>
      <c r="G69"/>
      <c r="H69"/>
      <c r="I69"/>
    </row>
    <row r="70" spans="1:9">
      <c r="A70" s="302"/>
      <c r="B70" s="302"/>
      <c r="E70"/>
      <c r="F70"/>
      <c r="G70"/>
      <c r="H70"/>
      <c r="I70"/>
    </row>
    <row r="71" spans="1:9">
      <c r="A71" s="302"/>
      <c r="B71" s="302"/>
      <c r="E71"/>
      <c r="F71"/>
      <c r="G71"/>
      <c r="H71"/>
      <c r="I71"/>
    </row>
    <row r="72" spans="1:9">
      <c r="A72" s="302"/>
      <c r="B72" s="302"/>
      <c r="E72"/>
      <c r="F72"/>
      <c r="G72"/>
      <c r="H72"/>
      <c r="I72"/>
    </row>
    <row r="73" spans="1:9">
      <c r="A73" s="302"/>
      <c r="B73" s="302"/>
      <c r="E73"/>
      <c r="F73"/>
      <c r="G73"/>
      <c r="H73"/>
      <c r="I73"/>
    </row>
    <row r="74" spans="1:9">
      <c r="A74" s="302"/>
      <c r="B74" s="330"/>
      <c r="C74" s="330"/>
      <c r="D74" s="330"/>
    </row>
    <row r="75" spans="1:9">
      <c r="A75" s="302"/>
      <c r="B75" s="330"/>
      <c r="C75" s="330"/>
      <c r="D75" s="330"/>
    </row>
    <row r="76" spans="1:9">
      <c r="A76" s="302"/>
      <c r="B76" s="302"/>
      <c r="C76" s="302"/>
      <c r="D76" s="302"/>
      <c r="E76" s="301"/>
      <c r="F76" s="301"/>
    </row>
    <row r="77" spans="1:9">
      <c r="A77" s="302"/>
      <c r="B77" s="302"/>
      <c r="C77" s="302"/>
      <c r="D77" s="302"/>
      <c r="E77" s="301"/>
      <c r="F77" s="301"/>
    </row>
    <row r="78" spans="1:9">
      <c r="A78" s="302"/>
      <c r="B78" s="302"/>
      <c r="C78" s="302"/>
      <c r="D78" s="302"/>
      <c r="E78" s="301"/>
      <c r="F78" s="301"/>
    </row>
    <row r="79" spans="1:9">
      <c r="A79" s="302"/>
      <c r="B79" s="302"/>
      <c r="C79" s="302"/>
      <c r="D79" s="302"/>
      <c r="E79" s="301"/>
      <c r="F79" s="301"/>
    </row>
    <row r="80" spans="1:9">
      <c r="A80" s="302"/>
      <c r="B80" s="302"/>
      <c r="C80" s="302"/>
      <c r="D80" s="302"/>
      <c r="E80" s="301"/>
      <c r="F80" s="301"/>
    </row>
    <row r="81" spans="1:6">
      <c r="A81" s="302"/>
      <c r="B81" s="302"/>
      <c r="C81" s="302"/>
      <c r="D81" s="302"/>
      <c r="E81" s="301"/>
      <c r="F81" s="301"/>
    </row>
    <row r="82" spans="1:6">
      <c r="A82" s="302"/>
      <c r="B82" s="302"/>
      <c r="C82" s="302"/>
      <c r="D82" s="302"/>
      <c r="E82" s="301"/>
      <c r="F82" s="301"/>
    </row>
    <row r="83" spans="1:6">
      <c r="A83" s="302"/>
      <c r="B83" s="302"/>
      <c r="C83" s="302"/>
      <c r="D83" s="302"/>
      <c r="E83" s="301"/>
      <c r="F83" s="301"/>
    </row>
    <row r="84" spans="1:6">
      <c r="A84" s="302"/>
      <c r="B84" s="302"/>
      <c r="C84" s="302"/>
      <c r="D84" s="302"/>
      <c r="E84" s="301"/>
      <c r="F84" s="301"/>
    </row>
    <row r="85" spans="1:6">
      <c r="A85" s="302"/>
      <c r="B85" s="302"/>
      <c r="C85" s="302"/>
      <c r="D85" s="302"/>
      <c r="E85" s="301"/>
      <c r="F85" s="301"/>
    </row>
    <row r="86" spans="1:6">
      <c r="A86" s="302"/>
      <c r="B86" s="330" t="s">
        <v>380</v>
      </c>
      <c r="C86" s="330"/>
      <c r="D86" s="330"/>
      <c r="E86" s="301"/>
      <c r="F86" s="301"/>
    </row>
    <row r="87" spans="1:6">
      <c r="A87" s="302"/>
      <c r="B87" s="330"/>
      <c r="C87" s="330"/>
      <c r="D87" s="330"/>
      <c r="E87" s="301"/>
      <c r="F87" s="301"/>
    </row>
    <row r="88" spans="1:6">
      <c r="A88" s="302"/>
      <c r="B88" s="330"/>
      <c r="C88" s="330"/>
      <c r="D88" s="330"/>
      <c r="E88" s="301"/>
      <c r="F88" s="301"/>
    </row>
    <row r="89" spans="1:6">
      <c r="A89" s="302"/>
      <c r="B89" s="330" t="s">
        <v>111</v>
      </c>
      <c r="C89" s="330" t="s">
        <v>112</v>
      </c>
      <c r="D89" s="330"/>
      <c r="E89" s="301"/>
      <c r="F89" s="301"/>
    </row>
    <row r="90" spans="1:6">
      <c r="A90" s="302"/>
      <c r="B90" s="330" t="s">
        <v>113</v>
      </c>
      <c r="C90" s="330" t="s">
        <v>114</v>
      </c>
      <c r="D90" s="330"/>
      <c r="E90" s="301"/>
      <c r="F90" s="301"/>
    </row>
    <row r="91" spans="1:6">
      <c r="A91" s="302"/>
      <c r="B91" s="330" t="s">
        <v>115</v>
      </c>
      <c r="C91" s="330" t="s">
        <v>116</v>
      </c>
      <c r="D91" s="330"/>
      <c r="E91" s="301"/>
      <c r="F91" s="301"/>
    </row>
    <row r="92" spans="1:6">
      <c r="A92" s="302"/>
      <c r="B92" s="330"/>
      <c r="C92" s="330"/>
      <c r="D92" s="330"/>
      <c r="E92" s="301"/>
      <c r="F92" s="301"/>
    </row>
    <row r="93" spans="1:6">
      <c r="A93" s="302"/>
      <c r="B93" s="331"/>
      <c r="C93" s="330"/>
      <c r="D93" s="330"/>
      <c r="E93" s="301"/>
      <c r="F93" s="301"/>
    </row>
    <row r="94" spans="1:6">
      <c r="A94" s="302"/>
      <c r="B94" s="331" t="s">
        <v>117</v>
      </c>
      <c r="C94" s="330" t="s">
        <v>118</v>
      </c>
      <c r="D94" s="330"/>
      <c r="E94" s="301"/>
      <c r="F94" s="301"/>
    </row>
    <row r="95" spans="1:6">
      <c r="A95" s="302"/>
      <c r="B95" s="331" t="s">
        <v>119</v>
      </c>
      <c r="C95" s="330" t="s">
        <v>120</v>
      </c>
      <c r="D95" s="330"/>
      <c r="E95" s="301"/>
      <c r="F95" s="301"/>
    </row>
    <row r="96" spans="1:6">
      <c r="A96" s="302"/>
      <c r="B96" s="331" t="s">
        <v>121</v>
      </c>
      <c r="C96" s="330" t="s">
        <v>120</v>
      </c>
      <c r="D96" s="330"/>
      <c r="E96" s="301"/>
      <c r="F96" s="301"/>
    </row>
    <row r="97" spans="1:18">
      <c r="A97" s="302"/>
      <c r="B97" s="331" t="s">
        <v>122</v>
      </c>
      <c r="C97" s="330" t="s">
        <v>123</v>
      </c>
      <c r="D97" s="330"/>
      <c r="E97" s="301"/>
      <c r="F97" s="301"/>
    </row>
    <row r="98" spans="1:18">
      <c r="A98" s="302"/>
      <c r="B98" s="331" t="s">
        <v>124</v>
      </c>
      <c r="C98" s="330" t="s">
        <v>125</v>
      </c>
      <c r="D98" s="330"/>
      <c r="E98" s="301"/>
      <c r="F98" s="301"/>
    </row>
    <row r="99" spans="1:18">
      <c r="A99" s="302"/>
      <c r="B99" s="331"/>
      <c r="C99" s="330"/>
      <c r="D99" s="330"/>
      <c r="E99" s="301"/>
      <c r="F99" s="301"/>
    </row>
    <row r="100" spans="1:18" s="330" customFormat="1">
      <c r="A100" s="302"/>
      <c r="B100" s="331" t="s">
        <v>126</v>
      </c>
      <c r="E100" s="301"/>
      <c r="F100" s="301"/>
      <c r="G100" s="332"/>
      <c r="H100" s="332"/>
      <c r="I100" s="332"/>
      <c r="J100" s="332"/>
      <c r="K100" s="332"/>
      <c r="L100" s="332"/>
      <c r="M100" s="332"/>
      <c r="N100" s="332"/>
      <c r="O100" s="332"/>
      <c r="P100" s="332"/>
      <c r="Q100" s="332"/>
      <c r="R100" s="332"/>
    </row>
    <row r="101" spans="1:18" s="330" customFormat="1">
      <c r="A101" s="302"/>
      <c r="B101" s="331" t="s">
        <v>127</v>
      </c>
      <c r="E101" s="301"/>
      <c r="F101" s="301"/>
      <c r="G101" s="332"/>
      <c r="H101" s="332"/>
      <c r="I101" s="332"/>
      <c r="J101" s="332"/>
      <c r="K101" s="332"/>
      <c r="L101" s="332"/>
      <c r="M101" s="332"/>
      <c r="N101" s="332"/>
      <c r="O101" s="332"/>
      <c r="P101" s="332"/>
      <c r="Q101" s="332"/>
      <c r="R101" s="332"/>
    </row>
    <row r="102" spans="1:18" s="330" customFormat="1">
      <c r="A102" s="302"/>
      <c r="B102" s="331" t="s">
        <v>326</v>
      </c>
      <c r="E102" s="301"/>
      <c r="F102" s="301"/>
      <c r="G102" s="332"/>
      <c r="H102" s="332"/>
      <c r="I102" s="332"/>
      <c r="J102" s="332"/>
      <c r="K102" s="332"/>
      <c r="L102" s="332"/>
      <c r="M102" s="332"/>
      <c r="N102" s="332"/>
      <c r="O102" s="332"/>
      <c r="P102" s="332"/>
      <c r="Q102" s="332"/>
      <c r="R102" s="332"/>
    </row>
    <row r="103" spans="1:18" s="330" customFormat="1">
      <c r="A103" s="302"/>
      <c r="B103" s="331" t="s">
        <v>128</v>
      </c>
      <c r="E103" s="301"/>
      <c r="F103" s="301"/>
      <c r="G103" s="332"/>
      <c r="H103" s="332"/>
      <c r="I103" s="332"/>
      <c r="J103" s="332"/>
      <c r="K103" s="332"/>
      <c r="L103" s="332"/>
      <c r="M103" s="332"/>
      <c r="N103" s="332"/>
      <c r="O103" s="332"/>
      <c r="P103" s="332"/>
      <c r="Q103" s="332"/>
      <c r="R103" s="332"/>
    </row>
    <row r="104" spans="1:18">
      <c r="A104" s="302"/>
      <c r="B104" s="331" t="s">
        <v>129</v>
      </c>
      <c r="C104" s="330"/>
      <c r="D104" s="330"/>
      <c r="E104" s="301"/>
      <c r="F104" s="301"/>
    </row>
    <row r="105" spans="1:18">
      <c r="A105" s="302"/>
      <c r="B105" s="331"/>
      <c r="C105" s="330"/>
      <c r="D105" s="330"/>
      <c r="E105" s="301"/>
      <c r="F105" s="301"/>
    </row>
    <row r="106" spans="1:18">
      <c r="A106" s="302"/>
      <c r="B106" s="331"/>
      <c r="C106" s="330"/>
      <c r="D106" s="330"/>
      <c r="E106" s="301"/>
      <c r="F106" s="301"/>
    </row>
    <row r="107" spans="1:18">
      <c r="A107" s="302"/>
      <c r="B107" s="331"/>
      <c r="C107" s="330"/>
      <c r="D107" s="330"/>
      <c r="E107" s="301"/>
      <c r="F107" s="301"/>
    </row>
    <row r="108" spans="1:18">
      <c r="A108" s="302"/>
      <c r="B108" s="331"/>
      <c r="C108" s="330"/>
      <c r="D108" s="330"/>
      <c r="E108" s="301"/>
      <c r="F108" s="301"/>
    </row>
    <row r="109" spans="1:18">
      <c r="A109" s="302"/>
      <c r="B109" s="331" t="s">
        <v>130</v>
      </c>
      <c r="C109" s="330"/>
      <c r="D109" s="330"/>
      <c r="E109" s="301"/>
      <c r="F109" s="301"/>
    </row>
    <row r="110" spans="1:18">
      <c r="A110" s="302"/>
      <c r="B110" s="331" t="s">
        <v>115</v>
      </c>
      <c r="C110" s="330"/>
      <c r="D110" s="330"/>
      <c r="E110" s="301"/>
      <c r="F110" s="301"/>
    </row>
    <row r="111" spans="1:18">
      <c r="A111" s="302"/>
      <c r="B111" s="330"/>
      <c r="C111" s="330"/>
      <c r="D111" s="330"/>
      <c r="E111" s="301"/>
      <c r="F111" s="301"/>
    </row>
    <row r="112" spans="1:18">
      <c r="A112" s="302"/>
      <c r="B112" s="330"/>
      <c r="C112" s="330"/>
      <c r="D112" s="330"/>
      <c r="E112" s="301"/>
      <c r="F112" s="301"/>
    </row>
    <row r="113" spans="1:6">
      <c r="A113" s="302"/>
      <c r="B113" s="330"/>
      <c r="C113" s="330"/>
      <c r="D113" s="330"/>
      <c r="E113" s="301"/>
      <c r="F113" s="301"/>
    </row>
    <row r="114" spans="1:6">
      <c r="A114" s="302"/>
      <c r="B114" s="330"/>
      <c r="C114" s="330"/>
      <c r="D114" s="330"/>
      <c r="E114" s="301"/>
      <c r="F114" s="301"/>
    </row>
    <row r="115" spans="1:6">
      <c r="A115" s="302"/>
      <c r="B115" s="330"/>
      <c r="C115" s="330"/>
      <c r="D115" s="330"/>
      <c r="E115" s="301"/>
      <c r="F115" s="301"/>
    </row>
    <row r="116" spans="1:6">
      <c r="A116" s="302"/>
      <c r="B116" s="330"/>
      <c r="C116" s="330"/>
      <c r="D116" s="330"/>
      <c r="E116" s="301"/>
      <c r="F116" s="301"/>
    </row>
    <row r="117" spans="1:6">
      <c r="A117" s="302"/>
      <c r="B117" s="302"/>
      <c r="C117" s="302"/>
      <c r="D117" s="302"/>
      <c r="E117" s="301"/>
      <c r="F117" s="301"/>
    </row>
  </sheetData>
  <sheetProtection algorithmName="SHA-512" hashValue="mWpEUCVPkBl7Og/14Ku2IwB21rpmkzS1N0gB6NIC6IpqVeNbOKpYPYDXVBa/UbdjvnuSuiRc9N16v+wcRgIuWw==" saltValue="Yg8a9Yk/XRcR9yMHb1a1VA==" spinCount="100000" sheet="1" objects="1" scenarios="1"/>
  <mergeCells count="39">
    <mergeCell ref="C32:E32"/>
    <mergeCell ref="B51:C51"/>
    <mergeCell ref="B19:E19"/>
    <mergeCell ref="E50:M51"/>
    <mergeCell ref="B47:C47"/>
    <mergeCell ref="B44:C44"/>
    <mergeCell ref="B35:D35"/>
    <mergeCell ref="C58:D58"/>
    <mergeCell ref="B37:C37"/>
    <mergeCell ref="B38:C38"/>
    <mergeCell ref="B49:C49"/>
    <mergeCell ref="E49:M49"/>
    <mergeCell ref="B48:C48"/>
    <mergeCell ref="E48:M48"/>
    <mergeCell ref="E40:M41"/>
    <mergeCell ref="E44:M44"/>
    <mergeCell ref="E45:M45"/>
    <mergeCell ref="E46:M46"/>
    <mergeCell ref="E43:M43"/>
    <mergeCell ref="E47:M47"/>
    <mergeCell ref="B45:C45"/>
    <mergeCell ref="B46:C46"/>
    <mergeCell ref="B43:C43"/>
    <mergeCell ref="B1:J1"/>
    <mergeCell ref="B2:J2"/>
    <mergeCell ref="E38:M38"/>
    <mergeCell ref="E37:M37"/>
    <mergeCell ref="B54:D54"/>
    <mergeCell ref="B4:E4"/>
    <mergeCell ref="C21:D21"/>
    <mergeCell ref="C22:D22"/>
    <mergeCell ref="C23:D23"/>
    <mergeCell ref="C24:D24"/>
    <mergeCell ref="B50:C50"/>
    <mergeCell ref="E39:M39"/>
    <mergeCell ref="E42:M42"/>
    <mergeCell ref="D39:D41"/>
    <mergeCell ref="B39:C41"/>
    <mergeCell ref="B42:C42"/>
  </mergeCells>
  <phoneticPr fontId="5" type="noConversion"/>
  <conditionalFormatting sqref="D6:D17">
    <cfRule type="cellIs" dxfId="43" priority="3" operator="notEqual">
      <formula>""</formula>
    </cfRule>
  </conditionalFormatting>
  <conditionalFormatting sqref="D20 C21:C24 H25 D28">
    <cfRule type="cellIs" dxfId="42" priority="5" operator="notEqual">
      <formula>""</formula>
    </cfRule>
  </conditionalFormatting>
  <conditionalFormatting sqref="D26">
    <cfRule type="notContainsBlanks" dxfId="41" priority="8">
      <formula>LEN(TRIM(D26))&gt;0</formula>
    </cfRule>
  </conditionalFormatting>
  <dataValidations count="8">
    <dataValidation type="list" allowBlank="1" showInputMessage="1" showErrorMessage="1" sqref="D11" xr:uid="{B139AC47-93BC-4D0C-86A2-8296580D4752}">
      <formula1>$B$103:$B$104</formula1>
    </dataValidation>
    <dataValidation type="list" allowBlank="1" showInputMessage="1" showErrorMessage="1" sqref="D12" xr:uid="{C541FA0E-065C-4B73-8A7B-F4A965FF79F7}">
      <formula1>$B$100:$B$102</formula1>
    </dataValidation>
    <dataValidation type="list" allowBlank="1" showInputMessage="1" showErrorMessage="1" sqref="D59" xr:uid="{2705F454-DC73-48AC-B933-F13FCC4AFECC}">
      <formula1>$B$94:$B$98</formula1>
    </dataValidation>
    <dataValidation type="date" operator="greaterThanOrEqual" allowBlank="1" showInputMessage="1" showErrorMessage="1" error="Must be a date not earlier than today's date" sqref="D28" xr:uid="{3EAF0541-BA65-46B0-81E0-DC06B11D0CD0}">
      <formula1>TODAY()</formula1>
    </dataValidation>
    <dataValidation allowBlank="1" showInputMessage="1" showErrorMessage="1" prompt="Please enter phone number as (###) ### - ###" sqref="H25" xr:uid="{FB179C34-E852-4F0A-975B-4EEE84936E12}"/>
    <dataValidation type="textLength" operator="equal" allowBlank="1" showInputMessage="1" showErrorMessage="1" error="Please enter 10 digit phone number" prompt="Please enter 10 digit phone number" sqref="D18 D15" xr:uid="{AB533174-D767-417B-949C-CE783B79212C}">
      <formula1>10</formula1>
    </dataValidation>
    <dataValidation type="textLength" operator="lessThanOrEqual" allowBlank="1" showInputMessage="1" showErrorMessage="1" error="Must be 50 letters or less" sqref="D14:D18" xr:uid="{9AAFABF3-54DD-4446-81B5-CE469F93D248}">
      <formula1>50</formula1>
    </dataValidation>
    <dataValidation operator="equal" allowBlank="1" showInputMessage="1" showErrorMessage="1" sqref="D16:D17" xr:uid="{BE333AA3-DE0D-43CF-9030-56180BB93CCE}"/>
  </dataValidations>
  <hyperlinks>
    <hyperlink ref="C32" r:id="rId1" xr:uid="{8E1C5F18-29E3-4E2E-97CC-06B73E7A0E9B}"/>
  </hyperlinks>
  <pageMargins left="0.7" right="0.7" top="0.75" bottom="0.75" header="0.3" footer="0.3"/>
  <pageSetup scale="73" orientation="landscape" r:id="rId2"/>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66784-CCE6-4574-9655-F841B9563F9A}">
  <sheetPr>
    <tabColor theme="4" tint="0.59999389629810485"/>
  </sheetPr>
  <dimension ref="B1:B7"/>
  <sheetViews>
    <sheetView showGridLines="0" zoomScaleNormal="100" workbookViewId="0">
      <selection activeCell="B1" sqref="B1"/>
    </sheetView>
  </sheetViews>
  <sheetFormatPr defaultColWidth="8.81640625" defaultRowHeight="15.5"/>
  <cols>
    <col min="1" max="1" width="5.54296875" style="122" customWidth="1"/>
    <col min="2" max="2" width="76.54296875" style="122" customWidth="1"/>
    <col min="3" max="16384" width="8.81640625" style="122"/>
  </cols>
  <sheetData>
    <row r="1" spans="2:2" ht="26.5" thickBot="1">
      <c r="B1" s="917" t="s">
        <v>744</v>
      </c>
    </row>
    <row r="3" spans="2:2">
      <c r="B3" s="124"/>
    </row>
    <row r="4" spans="2:2">
      <c r="B4" s="124" t="s">
        <v>944</v>
      </c>
    </row>
    <row r="5" spans="2:2">
      <c r="B5" s="123"/>
    </row>
    <row r="6" spans="2:2">
      <c r="B6" s="123"/>
    </row>
    <row r="7" spans="2:2">
      <c r="B7" s="123"/>
    </row>
  </sheetData>
  <sheetProtection sheet="1" objects="1" scenarios="1"/>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46CF2-77C3-4951-AF3B-9079D4E9D760}">
  <sheetPr>
    <tabColor rgb="FFFFC000"/>
  </sheetPr>
  <dimension ref="A1:V97"/>
  <sheetViews>
    <sheetView showGridLines="0" topLeftCell="B1" zoomScale="85" zoomScaleNormal="85" workbookViewId="0">
      <selection sqref="A1:I1"/>
    </sheetView>
  </sheetViews>
  <sheetFormatPr defaultColWidth="9.1796875" defaultRowHeight="14.5"/>
  <cols>
    <col min="3" max="3" width="95.26953125" bestFit="1" customWidth="1"/>
    <col min="4" max="4" width="6.6328125" bestFit="1" customWidth="1"/>
    <col min="5" max="5" width="8.26953125" customWidth="1"/>
    <col min="6" max="6" width="31.1796875" customWidth="1"/>
    <col min="7" max="7" width="2.54296875" customWidth="1"/>
    <col min="8" max="8" width="6.54296875" customWidth="1"/>
    <col min="9" max="9" width="27.453125" customWidth="1"/>
    <col min="11" max="11" width="17.81640625" customWidth="1"/>
    <col min="12" max="12" width="11.1796875" customWidth="1"/>
  </cols>
  <sheetData>
    <row r="1" spans="1:12" ht="26">
      <c r="A1" s="1138" t="s">
        <v>744</v>
      </c>
      <c r="B1" s="1138"/>
      <c r="C1" s="1138"/>
      <c r="D1" s="1138"/>
      <c r="E1" s="1138"/>
      <c r="F1" s="1138"/>
      <c r="G1" s="1138"/>
      <c r="H1" s="1138"/>
      <c r="I1" s="1138"/>
      <c r="K1" s="112" t="s">
        <v>109</v>
      </c>
      <c r="L1" s="113" t="str">
        <f>IF('A1. Identification'!$D$13=0, " ",'A1. Identification'!$D$13)</f>
        <v xml:space="preserve"> </v>
      </c>
    </row>
    <row r="2" spans="1:12" ht="17.25" customHeight="1">
      <c r="K2" s="112" t="s">
        <v>303</v>
      </c>
      <c r="L2" s="113" t="str">
        <f>'A6. Operations'!L2</f>
        <v>Please enter Ministry licence number on tab A6 row 7</v>
      </c>
    </row>
    <row r="3" spans="1:12" ht="22.5">
      <c r="A3" s="125" t="s">
        <v>496</v>
      </c>
      <c r="B3" s="126"/>
      <c r="C3" s="127"/>
      <c r="D3" s="127"/>
      <c r="E3" s="127"/>
      <c r="F3" s="128"/>
      <c r="G3" s="128"/>
      <c r="H3" s="128"/>
      <c r="I3" s="129"/>
    </row>
    <row r="4" spans="1:12" ht="20">
      <c r="A4" s="780"/>
      <c r="B4" s="130"/>
      <c r="C4" s="781"/>
      <c r="D4" s="781"/>
      <c r="E4" s="781"/>
      <c r="F4" s="131"/>
      <c r="G4" s="132"/>
      <c r="H4" s="132"/>
    </row>
    <row r="5" spans="1:12" ht="15.5">
      <c r="A5" s="130"/>
      <c r="B5" s="130"/>
      <c r="C5" s="782"/>
      <c r="D5" s="782"/>
      <c r="E5" s="782"/>
      <c r="F5" s="133"/>
      <c r="G5" s="134"/>
      <c r="H5" s="134"/>
      <c r="I5" s="1"/>
    </row>
    <row r="6" spans="1:12" ht="17.5">
      <c r="A6" s="1"/>
      <c r="B6" s="135" t="s">
        <v>497</v>
      </c>
      <c r="C6" s="136"/>
      <c r="D6" s="136"/>
      <c r="E6" s="136"/>
      <c r="F6" s="133"/>
      <c r="G6" s="134"/>
      <c r="H6" s="134"/>
      <c r="I6" s="1"/>
    </row>
    <row r="7" spans="1:12" ht="15.5">
      <c r="A7" s="1"/>
      <c r="B7" s="783" t="s">
        <v>498</v>
      </c>
      <c r="C7" s="136"/>
      <c r="D7" s="136"/>
      <c r="E7" s="136"/>
      <c r="F7" s="133"/>
      <c r="G7" s="134"/>
      <c r="H7" s="134"/>
      <c r="I7" s="1"/>
    </row>
    <row r="8" spans="1:12" ht="15.5">
      <c r="A8" s="137"/>
      <c r="B8" s="137"/>
      <c r="C8" s="138" t="s">
        <v>499</v>
      </c>
      <c r="D8" s="139"/>
      <c r="E8" s="140" t="s">
        <v>500</v>
      </c>
      <c r="F8" s="784">
        <f>'A6. Operations'!F7</f>
        <v>0</v>
      </c>
      <c r="G8" s="141"/>
      <c r="H8" s="141"/>
      <c r="I8" s="1"/>
    </row>
    <row r="9" spans="1:12" ht="15">
      <c r="A9" s="137"/>
      <c r="B9" s="137"/>
      <c r="C9" s="138" t="s">
        <v>501</v>
      </c>
      <c r="D9" s="137"/>
      <c r="E9" s="140" t="s">
        <v>502</v>
      </c>
      <c r="F9" s="146">
        <f>'A1. Identification'!D6</f>
        <v>0</v>
      </c>
      <c r="G9" s="141"/>
      <c r="H9" s="141"/>
      <c r="I9" s="137"/>
    </row>
    <row r="10" spans="1:12" ht="15">
      <c r="A10" s="137"/>
      <c r="B10" s="137"/>
      <c r="C10" s="138" t="s">
        <v>503</v>
      </c>
      <c r="D10" s="139"/>
      <c r="E10" s="140" t="s">
        <v>504</v>
      </c>
      <c r="F10" s="785">
        <f>'A6. Operations'!F8</f>
        <v>0</v>
      </c>
      <c r="G10" s="141"/>
      <c r="H10" s="141"/>
      <c r="I10" s="137"/>
    </row>
    <row r="11" spans="1:12" ht="15">
      <c r="A11" s="137"/>
      <c r="B11" s="137"/>
      <c r="C11" s="138" t="s">
        <v>505</v>
      </c>
      <c r="D11" s="139"/>
      <c r="E11" s="140" t="s">
        <v>506</v>
      </c>
      <c r="F11" s="786">
        <f>'A6. Operations'!F9</f>
        <v>0</v>
      </c>
      <c r="G11" s="142"/>
      <c r="H11" s="142"/>
      <c r="I11" s="286"/>
    </row>
    <row r="12" spans="1:12" ht="15.5">
      <c r="A12" s="137"/>
      <c r="B12" s="137"/>
      <c r="C12" s="138" t="s">
        <v>507</v>
      </c>
      <c r="D12" s="139"/>
      <c r="E12" s="139"/>
      <c r="F12" s="787" t="s">
        <v>735</v>
      </c>
      <c r="G12" s="144"/>
      <c r="H12" s="276"/>
      <c r="I12" s="1"/>
    </row>
    <row r="13" spans="1:12" ht="15.5">
      <c r="A13" s="137"/>
      <c r="B13" s="137"/>
      <c r="C13" s="788" t="s">
        <v>508</v>
      </c>
      <c r="D13" s="139"/>
      <c r="E13" s="140" t="s">
        <v>509</v>
      </c>
      <c r="F13" s="275">
        <v>232</v>
      </c>
      <c r="G13" s="145"/>
      <c r="H13" s="145"/>
      <c r="I13" s="1"/>
    </row>
    <row r="14" spans="1:12" ht="15.5">
      <c r="A14" s="137"/>
      <c r="B14" s="137"/>
      <c r="C14" s="138" t="s">
        <v>510</v>
      </c>
      <c r="D14" s="139"/>
      <c r="E14" s="140" t="s">
        <v>511</v>
      </c>
      <c r="F14" s="146">
        <v>2025</v>
      </c>
      <c r="G14" s="147"/>
      <c r="H14" s="147"/>
      <c r="I14" s="1"/>
    </row>
    <row r="15" spans="1:12" ht="15">
      <c r="A15" s="137"/>
      <c r="B15" s="789"/>
      <c r="C15" s="139"/>
      <c r="D15" s="139"/>
      <c r="E15" s="139"/>
      <c r="F15" s="789"/>
      <c r="G15" s="789"/>
      <c r="H15" s="789"/>
      <c r="I15" s="137"/>
    </row>
    <row r="16" spans="1:12" ht="17.5">
      <c r="A16" s="137"/>
      <c r="B16" s="135" t="s">
        <v>512</v>
      </c>
      <c r="C16" s="139"/>
      <c r="D16" s="139"/>
      <c r="E16" s="139"/>
      <c r="F16" s="789"/>
      <c r="G16" s="789"/>
      <c r="H16" s="789"/>
      <c r="I16" s="137"/>
    </row>
    <row r="17" spans="1:9" ht="15">
      <c r="A17" s="137"/>
      <c r="B17" s="783" t="s">
        <v>513</v>
      </c>
      <c r="C17" s="139"/>
      <c r="D17" s="139"/>
      <c r="E17" s="139"/>
      <c r="F17" s="789"/>
      <c r="G17" s="789"/>
      <c r="H17" s="789"/>
      <c r="I17" s="789"/>
    </row>
    <row r="18" spans="1:9" ht="15.5">
      <c r="A18" s="1"/>
      <c r="B18" s="1"/>
      <c r="C18" s="1" t="s">
        <v>514</v>
      </c>
      <c r="D18" s="136"/>
      <c r="E18" s="140" t="s">
        <v>515</v>
      </c>
      <c r="F18" s="790">
        <f>'A6. Operations'!F11</f>
        <v>0</v>
      </c>
      <c r="G18" s="148"/>
      <c r="H18" s="148"/>
      <c r="I18" s="286"/>
    </row>
    <row r="19" spans="1:9" ht="15.5">
      <c r="A19" s="1"/>
      <c r="B19" s="1"/>
      <c r="C19" s="136"/>
      <c r="D19" s="136"/>
      <c r="E19" s="136"/>
      <c r="F19" s="133"/>
      <c r="G19" s="134"/>
      <c r="H19" s="134"/>
      <c r="I19" s="1"/>
    </row>
    <row r="20" spans="1:9" ht="60" customHeight="1">
      <c r="A20" s="1"/>
      <c r="B20" s="791"/>
      <c r="C20" s="791"/>
      <c r="F20" s="792" t="s">
        <v>516</v>
      </c>
      <c r="H20" s="792"/>
      <c r="I20" s="792" t="s">
        <v>517</v>
      </c>
    </row>
    <row r="21" spans="1:9" ht="15.5">
      <c r="A21" s="1"/>
      <c r="C21" s="793" t="s">
        <v>518</v>
      </c>
      <c r="E21" s="794" t="s">
        <v>519</v>
      </c>
      <c r="F21" s="795">
        <f>('A2.Allocation &amp; Operating Plan'!C35+'A2.Allocation &amp; Operating Plan'!C36)*'A2.Allocation &amp; Operating Plan'!C37</f>
        <v>0</v>
      </c>
      <c r="H21" s="794" t="s">
        <v>520</v>
      </c>
      <c r="I21" s="795">
        <f>+'A2.Allocation &amp; Operating Plan'!C37*'A2.Allocation &amp; Operating Plan'!C39</f>
        <v>0</v>
      </c>
    </row>
    <row r="22" spans="1:9" ht="15.5">
      <c r="A22" s="1"/>
      <c r="C22" s="793" t="s">
        <v>521</v>
      </c>
      <c r="E22" s="794" t="s">
        <v>522</v>
      </c>
      <c r="F22" s="795">
        <f>('A2.Allocation &amp; Operating Plan'!D35+'A2.Allocation &amp; Operating Plan'!D36)*'A2.Allocation &amp; Operating Plan'!D37</f>
        <v>0</v>
      </c>
      <c r="H22" s="794" t="s">
        <v>523</v>
      </c>
      <c r="I22" s="795">
        <f>+'A2.Allocation &amp; Operating Plan'!D37*'A2.Allocation &amp; Operating Plan'!D39</f>
        <v>0</v>
      </c>
    </row>
    <row r="23" spans="1:9" ht="30">
      <c r="A23" s="1"/>
      <c r="C23" s="793" t="s">
        <v>4</v>
      </c>
      <c r="E23" s="794" t="s">
        <v>524</v>
      </c>
      <c r="F23" s="795">
        <f>('A2.Allocation &amp; Operating Plan'!E35+'A2.Allocation &amp; Operating Plan'!E36)*'A2.Allocation &amp; Operating Plan'!E37</f>
        <v>0</v>
      </c>
      <c r="H23" s="794" t="s">
        <v>525</v>
      </c>
      <c r="I23" s="795">
        <f>'A2.Allocation &amp; Operating Plan'!E37*'A2.Allocation &amp; Operating Plan'!E39</f>
        <v>0</v>
      </c>
    </row>
    <row r="24" spans="1:9" ht="30">
      <c r="A24" s="1"/>
      <c r="C24" s="793" t="s">
        <v>526</v>
      </c>
      <c r="E24" s="794" t="s">
        <v>527</v>
      </c>
      <c r="F24" s="795">
        <f>('A2.Allocation &amp; Operating Plan'!F35+'A2.Allocation &amp; Operating Plan'!F36)*'A2.Allocation &amp; Operating Plan'!F37</f>
        <v>0</v>
      </c>
      <c r="H24" s="794" t="s">
        <v>528</v>
      </c>
      <c r="I24" s="795">
        <f>'A2.Allocation &amp; Operating Plan'!F37*'A2.Allocation &amp; Operating Plan'!F39</f>
        <v>0</v>
      </c>
    </row>
    <row r="25" spans="1:9" ht="30">
      <c r="A25" s="130"/>
      <c r="C25" s="793" t="s">
        <v>529</v>
      </c>
      <c r="E25" s="794" t="s">
        <v>530</v>
      </c>
      <c r="F25" s="795">
        <f>('A2.Allocation &amp; Operating Plan'!G35+'A2.Allocation &amp; Operating Plan'!G36)*'A2.Allocation &amp; Operating Plan'!G37</f>
        <v>0</v>
      </c>
      <c r="H25" s="794" t="s">
        <v>531</v>
      </c>
      <c r="I25" s="795">
        <f>'A2.Allocation &amp; Operating Plan'!G37*'A2.Allocation &amp; Operating Plan'!G39</f>
        <v>0</v>
      </c>
    </row>
    <row r="26" spans="1:9" ht="30">
      <c r="A26" s="130"/>
      <c r="C26" s="793" t="s">
        <v>532</v>
      </c>
      <c r="E26" s="794" t="s">
        <v>533</v>
      </c>
      <c r="F26" s="795">
        <f>(('A2.Allocation &amp; Operating Plan'!H35+'A2.Allocation &amp; Operating Plan'!H36)*'A2.Allocation &amp; Operating Plan'!H37)+(('A2.Allocation &amp; Operating Plan'!I35+'A2.Allocation &amp; Operating Plan'!I36)*'A2.Allocation &amp; Operating Plan'!I37)</f>
        <v>0</v>
      </c>
      <c r="H26" s="794" t="s">
        <v>534</v>
      </c>
      <c r="I26" s="795">
        <f>('A2.Allocation &amp; Operating Plan'!H37*'A2.Allocation &amp; Operating Plan'!H39)+('A2.Allocation &amp; Operating Plan'!I37*'A2.Allocation &amp; Operating Plan'!I39)</f>
        <v>0</v>
      </c>
    </row>
    <row r="27" spans="1:9" ht="15.5">
      <c r="A27" s="130"/>
      <c r="C27" s="796" t="s">
        <v>87</v>
      </c>
      <c r="F27" s="150">
        <f>+SUM(F21:F26)</f>
        <v>0</v>
      </c>
      <c r="H27" s="149"/>
      <c r="I27" s="150">
        <f>+SUM(I21:I26)</f>
        <v>0</v>
      </c>
    </row>
    <row r="29" spans="1:9" ht="17.5">
      <c r="B29" s="797" t="s">
        <v>535</v>
      </c>
      <c r="C29" s="151"/>
      <c r="D29" s="151"/>
      <c r="E29" s="151"/>
      <c r="F29" s="152"/>
      <c r="G29" s="152"/>
      <c r="H29" s="152"/>
      <c r="I29" s="1"/>
    </row>
    <row r="30" spans="1:9" ht="17.5">
      <c r="B30" s="798" t="s">
        <v>536</v>
      </c>
      <c r="C30" s="151"/>
      <c r="D30" s="151"/>
      <c r="E30" s="151"/>
      <c r="F30" s="152"/>
      <c r="G30" s="153"/>
      <c r="H30" s="153"/>
      <c r="I30" s="1"/>
    </row>
    <row r="31" spans="1:9" ht="15.5">
      <c r="B31" s="783" t="s">
        <v>537</v>
      </c>
      <c r="C31" s="1"/>
      <c r="D31" s="1"/>
      <c r="E31" s="1"/>
      <c r="F31" s="1"/>
      <c r="G31" s="1"/>
      <c r="H31" s="1"/>
      <c r="I31" s="1"/>
    </row>
    <row r="32" spans="1:9" ht="15.5">
      <c r="B32" s="154"/>
      <c r="C32" s="1" t="s">
        <v>538</v>
      </c>
      <c r="D32" s="1"/>
      <c r="E32" s="155" t="s">
        <v>539</v>
      </c>
      <c r="F32" s="799">
        <f>'A6. Operations'!E20+'A3. Peel Region Grants'!G37</f>
        <v>0</v>
      </c>
      <c r="G32" s="156"/>
      <c r="H32" s="156"/>
      <c r="I32" s="143"/>
    </row>
    <row r="33" spans="2:22" ht="15.5">
      <c r="B33" s="800"/>
      <c r="C33" s="1" t="s">
        <v>540</v>
      </c>
      <c r="D33" s="1"/>
      <c r="E33" s="155" t="s">
        <v>541</v>
      </c>
      <c r="F33" s="799">
        <f>+'A6. Operations'!E21</f>
        <v>0</v>
      </c>
      <c r="G33" s="156"/>
      <c r="H33" s="156"/>
      <c r="I33" s="143"/>
    </row>
    <row r="34" spans="2:22" ht="15.5">
      <c r="B34" s="1"/>
      <c r="C34" s="136"/>
      <c r="D34" s="136"/>
      <c r="E34" s="136"/>
      <c r="F34" s="157"/>
      <c r="G34" s="158"/>
      <c r="H34" s="158"/>
      <c r="I34" s="159"/>
    </row>
    <row r="35" spans="2:22" ht="17.5">
      <c r="B35" s="797" t="s">
        <v>542</v>
      </c>
      <c r="C35" s="136"/>
      <c r="D35" s="136"/>
      <c r="E35" s="136"/>
      <c r="F35" s="152"/>
      <c r="G35" s="153"/>
      <c r="H35" s="153"/>
      <c r="I35" s="801"/>
    </row>
    <row r="36" spans="2:22" ht="15.5">
      <c r="B36" s="783" t="s">
        <v>543</v>
      </c>
      <c r="C36" s="136"/>
      <c r="D36" s="136"/>
      <c r="E36" s="136"/>
      <c r="F36" s="152"/>
      <c r="G36" s="153"/>
      <c r="H36" s="153"/>
      <c r="I36" s="801"/>
    </row>
    <row r="37" spans="2:22" ht="15.5">
      <c r="B37" s="783" t="s">
        <v>544</v>
      </c>
      <c r="C37" s="136"/>
      <c r="D37" s="136"/>
      <c r="E37" s="136"/>
      <c r="F37" s="152"/>
      <c r="G37" s="153"/>
      <c r="H37" s="153"/>
      <c r="I37" s="801"/>
    </row>
    <row r="38" spans="2:22" ht="15.5">
      <c r="B38" s="160"/>
      <c r="C38" s="136"/>
      <c r="D38" s="136"/>
      <c r="E38" s="136"/>
      <c r="F38" s="161" t="s">
        <v>545</v>
      </c>
      <c r="G38" s="162"/>
      <c r="H38" s="162"/>
      <c r="I38" s="774" t="s">
        <v>897</v>
      </c>
      <c r="J38" s="802"/>
      <c r="K38" s="802"/>
      <c r="L38" s="802"/>
      <c r="M38" s="802"/>
      <c r="N38" s="802"/>
      <c r="O38" s="802"/>
      <c r="P38" s="802"/>
      <c r="Q38" s="802"/>
      <c r="R38" s="802"/>
      <c r="S38" s="802"/>
      <c r="T38" s="802"/>
      <c r="U38" s="802"/>
      <c r="V38" s="802"/>
    </row>
    <row r="39" spans="2:22" ht="15.5">
      <c r="B39" s="163"/>
      <c r="C39" s="803" t="s">
        <v>546</v>
      </c>
      <c r="D39" s="803"/>
      <c r="E39" s="803"/>
      <c r="F39" s="161"/>
      <c r="G39" s="162"/>
      <c r="H39" s="162"/>
      <c r="I39" s="774"/>
      <c r="J39" s="802"/>
      <c r="K39" s="802"/>
      <c r="L39" s="802"/>
      <c r="M39" s="802"/>
      <c r="N39" s="802"/>
      <c r="O39" s="802"/>
      <c r="P39" s="802"/>
      <c r="Q39" s="802"/>
      <c r="R39" s="802"/>
      <c r="S39" s="802"/>
      <c r="T39" s="802"/>
      <c r="U39" s="802"/>
      <c r="V39" s="802"/>
    </row>
    <row r="40" spans="2:22" ht="15.5">
      <c r="B40" s="163"/>
      <c r="C40" s="804" t="s">
        <v>547</v>
      </c>
      <c r="D40" s="804"/>
      <c r="E40" s="805" t="s">
        <v>548</v>
      </c>
      <c r="F40" s="799">
        <f>+'A6. Operations'!E38+'A6. Operations'!E39-'A3. Peel Region Grants'!G39</f>
        <v>0</v>
      </c>
      <c r="G40" s="156"/>
      <c r="H40" s="156"/>
      <c r="I40" s="775" t="str">
        <f>+IFERROR(F40/$F$73,"")</f>
        <v/>
      </c>
      <c r="J40" s="802"/>
      <c r="K40" s="802"/>
      <c r="L40" s="802"/>
      <c r="M40" s="802"/>
      <c r="N40" s="802"/>
      <c r="O40" s="802"/>
      <c r="P40" s="802"/>
      <c r="Q40" s="802"/>
      <c r="R40" s="802"/>
      <c r="S40" s="802"/>
      <c r="T40" s="802"/>
      <c r="U40" s="802"/>
      <c r="V40" s="802"/>
    </row>
    <row r="41" spans="2:22" ht="15.5">
      <c r="B41" s="163"/>
      <c r="C41" s="804" t="s">
        <v>549</v>
      </c>
      <c r="D41" s="804"/>
      <c r="E41" s="805" t="s">
        <v>550</v>
      </c>
      <c r="F41" s="799">
        <f>+'A6. Operations'!E40+'A6. Operations'!E41</f>
        <v>0</v>
      </c>
      <c r="G41" s="156"/>
      <c r="H41" s="156"/>
      <c r="I41" s="775" t="str">
        <f t="shared" ref="I41:I43" si="0">+IFERROR(F41/$F$73,"")</f>
        <v/>
      </c>
      <c r="J41" s="802"/>
      <c r="K41" s="802"/>
      <c r="L41" s="802"/>
      <c r="M41" s="802"/>
      <c r="N41" s="802"/>
      <c r="O41" s="802"/>
      <c r="P41" s="802"/>
      <c r="Q41" s="802"/>
      <c r="R41" s="802"/>
      <c r="S41" s="802"/>
      <c r="T41" s="802"/>
      <c r="U41" s="802"/>
      <c r="V41" s="802"/>
    </row>
    <row r="42" spans="2:22" ht="15.5">
      <c r="B42" s="163"/>
      <c r="C42" s="804" t="s">
        <v>551</v>
      </c>
      <c r="D42" s="804"/>
      <c r="E42" s="805" t="s">
        <v>552</v>
      </c>
      <c r="F42" s="799">
        <f>+'A6. Operations'!E42</f>
        <v>0</v>
      </c>
      <c r="G42" s="156"/>
      <c r="H42" s="156"/>
      <c r="I42" s="775" t="str">
        <f t="shared" si="0"/>
        <v/>
      </c>
      <c r="J42" s="802"/>
      <c r="K42" s="802"/>
      <c r="L42" s="802"/>
      <c r="M42" s="802"/>
      <c r="N42" s="802"/>
      <c r="O42" s="802"/>
      <c r="P42" s="802"/>
      <c r="Q42" s="802"/>
      <c r="R42" s="802"/>
      <c r="S42" s="802"/>
      <c r="T42" s="802"/>
      <c r="U42" s="802"/>
      <c r="V42" s="802"/>
    </row>
    <row r="43" spans="2:22" ht="15.5">
      <c r="B43" s="163"/>
      <c r="C43" s="804" t="s">
        <v>553</v>
      </c>
      <c r="D43" s="804"/>
      <c r="E43" s="805" t="s">
        <v>554</v>
      </c>
      <c r="F43" s="799">
        <f>+'A6. Operations'!E43</f>
        <v>0</v>
      </c>
      <c r="G43" s="164"/>
      <c r="H43" s="164"/>
      <c r="I43" s="775" t="str">
        <f t="shared" si="0"/>
        <v/>
      </c>
      <c r="J43" s="802"/>
      <c r="K43" s="802"/>
      <c r="L43" s="802"/>
      <c r="M43" s="802"/>
      <c r="N43" s="802"/>
      <c r="O43" s="802"/>
      <c r="P43" s="802"/>
      <c r="Q43" s="802"/>
      <c r="R43" s="802"/>
      <c r="S43" s="802"/>
      <c r="T43" s="802"/>
      <c r="U43" s="802"/>
      <c r="V43" s="802"/>
    </row>
    <row r="44" spans="2:22" ht="15.5">
      <c r="B44" s="163"/>
      <c r="C44" s="804" t="s">
        <v>555</v>
      </c>
      <c r="D44" s="804"/>
      <c r="E44" s="805" t="s">
        <v>556</v>
      </c>
      <c r="F44" s="806">
        <f>+'A6. Operations'!E44-'A3. Peel Region Grants'!F130</f>
        <v>0</v>
      </c>
      <c r="G44" s="156"/>
      <c r="H44" s="456"/>
      <c r="I44" s="775"/>
      <c r="J44" s="802"/>
      <c r="K44" s="802"/>
      <c r="L44" s="728"/>
      <c r="M44" s="728"/>
      <c r="N44" s="728"/>
      <c r="O44" s="728"/>
      <c r="P44" s="802"/>
      <c r="Q44" s="802"/>
      <c r="R44" s="802"/>
      <c r="S44" s="802"/>
      <c r="T44" s="802"/>
      <c r="U44" s="802"/>
      <c r="V44" s="802"/>
    </row>
    <row r="45" spans="2:22" ht="15.5">
      <c r="B45" s="163"/>
      <c r="C45" s="804" t="s">
        <v>557</v>
      </c>
      <c r="D45" s="804"/>
      <c r="E45" s="805" t="s">
        <v>558</v>
      </c>
      <c r="F45" s="903">
        <f>+'4. KPIs'!E47</f>
        <v>0</v>
      </c>
      <c r="G45" s="165"/>
      <c r="H45" s="165"/>
      <c r="I45" s="807"/>
      <c r="J45" s="802"/>
      <c r="K45" s="802"/>
      <c r="L45" s="802"/>
      <c r="M45" s="802"/>
      <c r="N45" s="802"/>
      <c r="O45" s="802"/>
      <c r="P45" s="802"/>
      <c r="Q45" s="802"/>
      <c r="R45" s="802"/>
      <c r="S45" s="802"/>
      <c r="T45" s="802"/>
      <c r="U45" s="802"/>
      <c r="V45" s="802"/>
    </row>
    <row r="46" spans="2:22" ht="15.5">
      <c r="B46" s="160"/>
      <c r="C46" s="804"/>
      <c r="D46" s="804"/>
      <c r="E46" s="804"/>
      <c r="F46" s="808"/>
      <c r="G46" s="808"/>
      <c r="H46" s="808"/>
      <c r="I46" s="776"/>
      <c r="J46" s="802"/>
      <c r="K46" s="802"/>
      <c r="L46" s="802"/>
      <c r="M46" s="802"/>
      <c r="N46" s="802"/>
      <c r="O46" s="802"/>
      <c r="P46" s="802"/>
      <c r="Q46" s="802"/>
      <c r="R46" s="802"/>
      <c r="S46" s="802"/>
      <c r="T46" s="802"/>
      <c r="U46" s="802"/>
      <c r="V46" s="802"/>
    </row>
    <row r="47" spans="2:22" ht="15.5">
      <c r="B47" s="809"/>
      <c r="C47" s="803" t="s">
        <v>559</v>
      </c>
      <c r="D47" s="803"/>
      <c r="E47" s="803"/>
      <c r="F47" s="808"/>
      <c r="G47" s="808"/>
      <c r="H47" s="808"/>
      <c r="I47" s="776"/>
      <c r="J47" s="802"/>
      <c r="K47" s="802"/>
      <c r="L47" s="802"/>
      <c r="M47" s="802"/>
      <c r="N47" s="802"/>
      <c r="O47" s="802"/>
      <c r="P47" s="802"/>
      <c r="Q47" s="802"/>
      <c r="R47" s="802"/>
      <c r="S47" s="802"/>
      <c r="T47" s="802"/>
      <c r="U47" s="802"/>
      <c r="V47" s="802"/>
    </row>
    <row r="48" spans="2:22" ht="15.5">
      <c r="B48" s="163"/>
      <c r="C48" s="804" t="s">
        <v>560</v>
      </c>
      <c r="D48" s="804"/>
      <c r="E48" s="805" t="s">
        <v>561</v>
      </c>
      <c r="F48" s="799">
        <f>+'A6. Operations'!E46+'A6. Operations'!E47</f>
        <v>0</v>
      </c>
      <c r="G48" s="164"/>
      <c r="H48" s="164"/>
      <c r="I48" s="775" t="str">
        <f>+IFERROR(F48/$F$73,"")</f>
        <v/>
      </c>
      <c r="J48" s="802"/>
      <c r="K48" s="802"/>
      <c r="L48" s="802"/>
      <c r="M48" s="802"/>
      <c r="N48" s="802"/>
      <c r="O48" s="802"/>
      <c r="P48" s="802"/>
      <c r="Q48" s="802"/>
      <c r="R48" s="802"/>
      <c r="S48" s="802"/>
      <c r="T48" s="802"/>
      <c r="U48" s="802"/>
      <c r="V48" s="802"/>
    </row>
    <row r="49" spans="2:22" ht="15.5">
      <c r="B49" s="163"/>
      <c r="C49" s="804" t="s">
        <v>562</v>
      </c>
      <c r="D49" s="804"/>
      <c r="E49" s="166" t="s">
        <v>563</v>
      </c>
      <c r="F49" s="799">
        <f>+'A6. Operations'!E48+'A6. Operations'!E49</f>
        <v>0</v>
      </c>
      <c r="G49" s="164"/>
      <c r="H49" s="164"/>
      <c r="I49" s="775" t="str">
        <f t="shared" ref="I49:I52" si="1">+IFERROR(F49/$F$73,"")</f>
        <v/>
      </c>
      <c r="J49" s="802"/>
      <c r="K49" s="802"/>
      <c r="L49" s="802"/>
      <c r="M49" s="802"/>
      <c r="N49" s="802"/>
      <c r="O49" s="802"/>
      <c r="P49" s="802"/>
      <c r="Q49" s="802"/>
      <c r="R49" s="802"/>
      <c r="S49" s="802"/>
      <c r="T49" s="802"/>
      <c r="U49" s="802"/>
      <c r="V49" s="802"/>
    </row>
    <row r="50" spans="2:22" ht="15.5">
      <c r="B50" s="163"/>
      <c r="C50" s="804" t="s">
        <v>564</v>
      </c>
      <c r="D50" s="804"/>
      <c r="E50" s="166" t="s">
        <v>565</v>
      </c>
      <c r="F50" s="799">
        <f>+'A6. Operations'!E50</f>
        <v>0</v>
      </c>
      <c r="G50" s="164"/>
      <c r="H50" s="164"/>
      <c r="I50" s="775" t="str">
        <f t="shared" si="1"/>
        <v/>
      </c>
      <c r="J50" s="802"/>
      <c r="K50" s="802"/>
      <c r="L50" s="802"/>
      <c r="M50" s="802"/>
      <c r="N50" s="802"/>
      <c r="O50" s="802"/>
      <c r="P50" s="802"/>
      <c r="Q50" s="802"/>
      <c r="R50" s="802"/>
      <c r="S50" s="802"/>
      <c r="T50" s="802"/>
      <c r="U50" s="802"/>
      <c r="V50" s="802"/>
    </row>
    <row r="51" spans="2:22" ht="15.5">
      <c r="B51" s="163"/>
      <c r="C51" s="804" t="s">
        <v>566</v>
      </c>
      <c r="D51" s="804"/>
      <c r="E51" s="166" t="s">
        <v>567</v>
      </c>
      <c r="F51" s="799">
        <f>+'A6. Operations'!E51</f>
        <v>0</v>
      </c>
      <c r="G51" s="164"/>
      <c r="H51" s="164"/>
      <c r="I51" s="775" t="str">
        <f t="shared" si="1"/>
        <v/>
      </c>
      <c r="J51" s="802"/>
      <c r="K51" s="802"/>
      <c r="L51" s="802"/>
      <c r="M51" s="802"/>
      <c r="N51" s="802"/>
      <c r="O51" s="802"/>
      <c r="P51" s="802"/>
      <c r="Q51" s="802"/>
      <c r="R51" s="802"/>
      <c r="S51" s="802"/>
      <c r="T51" s="802"/>
      <c r="U51" s="802"/>
      <c r="V51" s="802"/>
    </row>
    <row r="52" spans="2:22" ht="15.5">
      <c r="B52" s="163"/>
      <c r="C52" s="804" t="s">
        <v>568</v>
      </c>
      <c r="D52" s="804"/>
      <c r="E52" s="166" t="s">
        <v>569</v>
      </c>
      <c r="F52" s="799">
        <f>+'A6. Operations'!E52</f>
        <v>0</v>
      </c>
      <c r="G52" s="164"/>
      <c r="H52" s="164"/>
      <c r="I52" s="775" t="str">
        <f t="shared" si="1"/>
        <v/>
      </c>
      <c r="J52" s="802"/>
      <c r="K52" s="802"/>
      <c r="L52" s="802"/>
      <c r="M52" s="802"/>
      <c r="N52" s="802"/>
      <c r="O52" s="802"/>
      <c r="P52" s="802"/>
      <c r="Q52" s="802"/>
      <c r="R52" s="802"/>
      <c r="S52" s="802"/>
      <c r="T52" s="802"/>
      <c r="U52" s="802"/>
      <c r="V52" s="802"/>
    </row>
    <row r="53" spans="2:22" ht="15.5">
      <c r="B53" s="163"/>
      <c r="C53" s="804" t="s">
        <v>570</v>
      </c>
      <c r="D53" s="804"/>
      <c r="E53" s="166" t="s">
        <v>571</v>
      </c>
      <c r="F53" s="903">
        <f>+'4. KPIs'!E48</f>
        <v>0</v>
      </c>
      <c r="G53" s="167"/>
      <c r="H53" s="167"/>
      <c r="I53" s="777"/>
      <c r="J53" s="802"/>
      <c r="K53" s="802"/>
      <c r="L53" s="802"/>
      <c r="M53" s="802"/>
      <c r="N53" s="802"/>
      <c r="O53" s="802"/>
      <c r="P53" s="802"/>
      <c r="Q53" s="802"/>
      <c r="R53" s="802"/>
      <c r="S53" s="802"/>
      <c r="T53" s="802"/>
      <c r="U53" s="802"/>
      <c r="V53" s="802"/>
    </row>
    <row r="54" spans="2:22" ht="15.5">
      <c r="B54" s="160"/>
      <c r="C54" s="804"/>
      <c r="D54" s="804"/>
      <c r="E54" s="136"/>
      <c r="F54" s="808"/>
      <c r="G54" s="808"/>
      <c r="H54" s="808"/>
      <c r="I54" s="776"/>
      <c r="J54" s="802"/>
      <c r="K54" s="802"/>
      <c r="L54" s="802"/>
      <c r="M54" s="802"/>
      <c r="N54" s="802"/>
      <c r="O54" s="802"/>
      <c r="P54" s="802"/>
      <c r="Q54" s="802"/>
      <c r="R54" s="802"/>
      <c r="S54" s="802"/>
      <c r="T54" s="802"/>
      <c r="U54" s="802"/>
      <c r="V54" s="802"/>
    </row>
    <row r="55" spans="2:22" ht="15.5">
      <c r="B55" s="809"/>
      <c r="C55" s="803" t="s">
        <v>232</v>
      </c>
      <c r="D55" s="803"/>
      <c r="E55" s="136"/>
      <c r="F55" s="808"/>
      <c r="G55" s="808"/>
      <c r="H55" s="808"/>
      <c r="I55" s="776"/>
      <c r="J55" s="802"/>
      <c r="K55" s="802"/>
      <c r="L55" s="802"/>
      <c r="M55" s="802"/>
      <c r="N55" s="802"/>
      <c r="O55" s="802"/>
      <c r="P55" s="802"/>
      <c r="Q55" s="802"/>
      <c r="R55" s="802"/>
      <c r="S55" s="802"/>
      <c r="T55" s="802"/>
      <c r="U55" s="802"/>
      <c r="V55" s="802"/>
    </row>
    <row r="56" spans="2:22" ht="15.5">
      <c r="B56" s="163"/>
      <c r="C56" s="804" t="s">
        <v>572</v>
      </c>
      <c r="D56" s="804"/>
      <c r="E56" s="166" t="s">
        <v>573</v>
      </c>
      <c r="F56" s="799">
        <f>+'A6. Operations'!E67+'A7. 2025 CWELCC &amp; OTEF Recon'!D23</f>
        <v>0</v>
      </c>
      <c r="G56" s="156"/>
      <c r="H56" s="156"/>
      <c r="I56" s="775" t="str">
        <f>+IFERROR(F56/$F$73,"")</f>
        <v/>
      </c>
      <c r="J56" s="802"/>
      <c r="K56" s="802"/>
      <c r="L56" s="802"/>
      <c r="M56" s="802"/>
      <c r="N56" s="802"/>
      <c r="O56" s="802"/>
      <c r="P56" s="802"/>
      <c r="Q56" s="802"/>
      <c r="R56" s="802"/>
      <c r="S56" s="802"/>
      <c r="T56" s="802"/>
      <c r="U56" s="802"/>
      <c r="V56" s="802"/>
    </row>
    <row r="57" spans="2:22" ht="15.5">
      <c r="B57" s="163"/>
      <c r="C57" s="804" t="s">
        <v>574</v>
      </c>
      <c r="D57" s="804"/>
      <c r="E57" s="166" t="s">
        <v>575</v>
      </c>
      <c r="F57" s="799">
        <f>+'A6. Operations'!E63</f>
        <v>0</v>
      </c>
      <c r="G57" s="156"/>
      <c r="H57" s="156"/>
      <c r="I57" s="775" t="str">
        <f t="shared" ref="I57:I60" si="2">+IFERROR(F57/$F$73,"")</f>
        <v/>
      </c>
      <c r="J57" s="802"/>
      <c r="K57" s="802"/>
      <c r="L57" s="802"/>
      <c r="M57" s="802"/>
      <c r="N57" s="802"/>
      <c r="O57" s="802"/>
      <c r="P57" s="802"/>
      <c r="Q57" s="802"/>
      <c r="R57" s="802"/>
      <c r="S57" s="802"/>
      <c r="T57" s="802"/>
      <c r="U57" s="802"/>
      <c r="V57" s="802"/>
    </row>
    <row r="58" spans="2:22" ht="34.5" customHeight="1">
      <c r="B58" s="163"/>
      <c r="C58" s="136" t="s">
        <v>576</v>
      </c>
      <c r="D58" s="804"/>
      <c r="E58" s="166" t="s">
        <v>577</v>
      </c>
      <c r="F58" s="799">
        <f>'A6. Operations'!E82</f>
        <v>0</v>
      </c>
      <c r="G58" s="156"/>
      <c r="H58" s="156"/>
      <c r="I58" s="775" t="str">
        <f t="shared" si="2"/>
        <v/>
      </c>
      <c r="J58" s="802"/>
      <c r="K58" s="802"/>
      <c r="L58" s="802"/>
      <c r="M58" s="802"/>
      <c r="N58" s="802"/>
      <c r="O58" s="802"/>
      <c r="P58" s="802"/>
      <c r="Q58" s="802"/>
      <c r="R58" s="802"/>
      <c r="S58" s="802"/>
      <c r="T58" s="802"/>
      <c r="U58" s="802"/>
      <c r="V58" s="802"/>
    </row>
    <row r="59" spans="2:22" ht="15.5">
      <c r="B59" s="163"/>
      <c r="C59" s="804" t="s">
        <v>578</v>
      </c>
      <c r="D59" s="804"/>
      <c r="E59" s="166" t="s">
        <v>579</v>
      </c>
      <c r="F59" s="799">
        <f>+'A6. Operations'!E64</f>
        <v>0</v>
      </c>
      <c r="G59" s="156"/>
      <c r="H59" s="156"/>
      <c r="I59" s="775" t="str">
        <f t="shared" si="2"/>
        <v/>
      </c>
      <c r="J59" s="802"/>
      <c r="K59" s="802"/>
      <c r="L59" s="802"/>
      <c r="M59" s="802"/>
      <c r="N59" s="802"/>
      <c r="O59" s="802"/>
      <c r="P59" s="802"/>
      <c r="Q59" s="802"/>
      <c r="R59" s="802"/>
      <c r="S59" s="802"/>
      <c r="T59" s="802"/>
      <c r="U59" s="802"/>
      <c r="V59" s="802"/>
    </row>
    <row r="60" spans="2:22" ht="15.5">
      <c r="B60" s="163"/>
      <c r="C60" s="804" t="s">
        <v>580</v>
      </c>
      <c r="D60" s="804"/>
      <c r="E60" s="166" t="s">
        <v>581</v>
      </c>
      <c r="F60" s="799">
        <f>+'A6. Operations'!E69</f>
        <v>0</v>
      </c>
      <c r="G60" s="156"/>
      <c r="H60" s="156"/>
      <c r="I60" s="775" t="str">
        <f t="shared" si="2"/>
        <v/>
      </c>
      <c r="J60" s="802"/>
      <c r="K60" s="802"/>
      <c r="L60" s="802"/>
      <c r="M60" s="802"/>
      <c r="N60" s="802"/>
      <c r="O60" s="802"/>
      <c r="P60" s="802"/>
      <c r="Q60" s="802"/>
      <c r="R60" s="802"/>
      <c r="S60" s="802"/>
      <c r="T60" s="802"/>
      <c r="U60" s="802"/>
      <c r="V60" s="802"/>
    </row>
    <row r="61" spans="2:22" ht="15.5">
      <c r="B61" s="160"/>
      <c r="C61" s="136"/>
      <c r="D61" s="136"/>
      <c r="E61" s="136"/>
      <c r="F61" s="136"/>
      <c r="G61" s="136"/>
      <c r="H61" s="136"/>
      <c r="I61" s="810"/>
      <c r="J61" s="802"/>
      <c r="K61" s="802"/>
      <c r="L61" s="802"/>
      <c r="M61" s="802"/>
      <c r="N61" s="802"/>
      <c r="O61" s="802"/>
      <c r="P61" s="802"/>
      <c r="Q61" s="802"/>
      <c r="R61" s="802"/>
      <c r="S61" s="802"/>
      <c r="T61" s="802"/>
      <c r="U61" s="802"/>
      <c r="V61" s="802"/>
    </row>
    <row r="62" spans="2:22" ht="15.5">
      <c r="B62" s="160"/>
      <c r="C62" s="803" t="s">
        <v>89</v>
      </c>
      <c r="D62" s="803"/>
      <c r="E62" s="803"/>
      <c r="F62" s="1"/>
      <c r="G62" s="1"/>
      <c r="H62" s="1"/>
      <c r="I62" s="776"/>
      <c r="J62" s="802"/>
      <c r="K62" s="802"/>
      <c r="L62" s="802"/>
      <c r="M62" s="802"/>
      <c r="N62" s="802"/>
      <c r="O62" s="802"/>
      <c r="P62" s="802"/>
      <c r="Q62" s="802"/>
      <c r="R62" s="802"/>
      <c r="S62" s="802"/>
      <c r="T62" s="802"/>
      <c r="U62" s="802"/>
      <c r="V62" s="802"/>
    </row>
    <row r="63" spans="2:22" ht="22.5" customHeight="1">
      <c r="B63" s="811"/>
      <c r="C63" s="139" t="s">
        <v>582</v>
      </c>
      <c r="D63" s="139"/>
      <c r="E63" s="812" t="s">
        <v>583</v>
      </c>
      <c r="F63" s="813">
        <f>+'A6. Operations'!E54+'A6. Operations'!E56+'A6. Operations'!E58+'A6. Operations'!E60</f>
        <v>0</v>
      </c>
      <c r="G63" s="168"/>
      <c r="H63" s="168"/>
      <c r="I63" s="775" t="str">
        <f>+IFERROR(F63/$F$73,"")</f>
        <v/>
      </c>
      <c r="J63" s="802"/>
      <c r="K63" s="802"/>
      <c r="L63" s="802"/>
      <c r="M63" s="802"/>
      <c r="N63" s="802"/>
      <c r="O63" s="802"/>
      <c r="P63" s="802"/>
      <c r="Q63" s="802"/>
      <c r="R63" s="802"/>
      <c r="S63" s="802"/>
      <c r="T63" s="802"/>
      <c r="U63" s="802"/>
      <c r="V63" s="802"/>
    </row>
    <row r="64" spans="2:22" ht="15">
      <c r="B64" s="811"/>
      <c r="C64" s="139" t="s">
        <v>584</v>
      </c>
      <c r="D64" s="139"/>
      <c r="E64" s="812" t="s">
        <v>585</v>
      </c>
      <c r="F64" s="814">
        <f>+'A6. Operations'!E55+'A6. Operations'!E57</f>
        <v>0</v>
      </c>
      <c r="G64" s="168"/>
      <c r="H64" s="168"/>
      <c r="I64" s="775" t="str">
        <f t="shared" ref="I64:I70" si="3">+IFERROR(F64/$F$73,"")</f>
        <v/>
      </c>
      <c r="J64" s="802"/>
      <c r="K64" s="802"/>
      <c r="L64" s="802"/>
      <c r="M64" s="802"/>
      <c r="N64" s="802"/>
      <c r="O64" s="802"/>
      <c r="P64" s="802"/>
      <c r="Q64" s="802"/>
      <c r="R64" s="802"/>
      <c r="S64" s="802"/>
      <c r="T64" s="802"/>
      <c r="U64" s="802"/>
      <c r="V64" s="802"/>
    </row>
    <row r="65" spans="2:22" ht="15">
      <c r="B65" s="811"/>
      <c r="C65" s="139" t="s">
        <v>586</v>
      </c>
      <c r="D65" s="139"/>
      <c r="E65" s="812" t="s">
        <v>587</v>
      </c>
      <c r="F65" s="813">
        <f>+'A6. Operations'!E72+'A6. Operations'!E73+'A6. Operations'!E74-'A3. Peel Region Grants'!G38</f>
        <v>0</v>
      </c>
      <c r="G65" s="168"/>
      <c r="H65" s="168"/>
      <c r="I65" s="775" t="str">
        <f t="shared" si="3"/>
        <v/>
      </c>
      <c r="J65" s="802"/>
      <c r="K65" s="802"/>
      <c r="L65" s="802"/>
      <c r="M65" s="802"/>
      <c r="N65" s="802"/>
      <c r="O65" s="802"/>
      <c r="P65" s="802"/>
      <c r="Q65" s="802"/>
      <c r="R65" s="802"/>
      <c r="S65" s="802"/>
      <c r="T65" s="802"/>
      <c r="U65" s="802"/>
      <c r="V65" s="802"/>
    </row>
    <row r="66" spans="2:22" ht="30">
      <c r="B66" s="811"/>
      <c r="C66" s="139" t="s">
        <v>588</v>
      </c>
      <c r="D66" s="139"/>
      <c r="E66" s="812" t="s">
        <v>589</v>
      </c>
      <c r="F66" s="813">
        <f>+'A6. Operations'!E68+'A6. Operations'!E65+'A6. Operations'!E81+'A6. Operations'!E88+'A6. Operations'!E94</f>
        <v>0</v>
      </c>
      <c r="G66" s="168"/>
      <c r="H66" s="168"/>
      <c r="I66" s="775" t="str">
        <f t="shared" si="3"/>
        <v/>
      </c>
      <c r="J66" s="802"/>
      <c r="K66" s="802"/>
      <c r="L66" s="802"/>
      <c r="M66" s="802"/>
      <c r="N66" s="802"/>
      <c r="O66" s="802"/>
      <c r="P66" s="802"/>
      <c r="Q66" s="802"/>
      <c r="R66" s="802"/>
      <c r="S66" s="802"/>
      <c r="T66" s="802"/>
      <c r="U66" s="802"/>
      <c r="V66" s="802"/>
    </row>
    <row r="67" spans="2:22" ht="15">
      <c r="B67" s="811"/>
      <c r="C67" s="139" t="s">
        <v>590</v>
      </c>
      <c r="D67" s="139"/>
      <c r="E67" s="812" t="s">
        <v>591</v>
      </c>
      <c r="F67" s="813">
        <f>+'A6. Operations'!E77+'A6. Operations'!E78</f>
        <v>0</v>
      </c>
      <c r="G67" s="168"/>
      <c r="H67" s="168"/>
      <c r="I67" s="775" t="str">
        <f t="shared" si="3"/>
        <v/>
      </c>
      <c r="J67" s="802"/>
      <c r="K67" s="802"/>
      <c r="L67" s="802"/>
      <c r="M67" s="802"/>
      <c r="N67" s="802"/>
      <c r="O67" s="802"/>
      <c r="P67" s="802"/>
      <c r="Q67" s="802"/>
      <c r="R67" s="802"/>
      <c r="S67" s="802"/>
      <c r="T67" s="802"/>
      <c r="U67" s="802"/>
      <c r="V67" s="802"/>
    </row>
    <row r="68" spans="2:22" ht="15">
      <c r="B68" s="811"/>
      <c r="C68" s="139" t="s">
        <v>592</v>
      </c>
      <c r="D68" s="139"/>
      <c r="E68" s="812" t="s">
        <v>593</v>
      </c>
      <c r="F68" s="813">
        <f>+'A6. Operations'!E105+'A6. Operations'!E66</f>
        <v>0</v>
      </c>
      <c r="G68" s="168"/>
      <c r="H68" s="168"/>
      <c r="I68" s="775" t="str">
        <f>+IFERROR(F68/$F$73,"")</f>
        <v/>
      </c>
      <c r="J68" s="802"/>
      <c r="K68" s="802"/>
      <c r="L68" s="802"/>
      <c r="M68" s="802"/>
      <c r="N68" s="802"/>
      <c r="O68" s="802"/>
      <c r="P68" s="802"/>
      <c r="Q68" s="802"/>
      <c r="R68" s="802"/>
      <c r="S68" s="802"/>
      <c r="T68" s="802"/>
      <c r="U68" s="802"/>
      <c r="V68" s="802"/>
    </row>
    <row r="69" spans="2:22" ht="15">
      <c r="B69" s="811"/>
      <c r="C69" s="139" t="s">
        <v>594</v>
      </c>
      <c r="D69" s="139"/>
      <c r="E69" s="812" t="s">
        <v>595</v>
      </c>
      <c r="F69" s="813">
        <f>+'A6. Operations'!E89+'A6. Operations'!E90</f>
        <v>0</v>
      </c>
      <c r="G69" s="168"/>
      <c r="H69" s="168"/>
      <c r="I69" s="775" t="str">
        <f t="shared" si="3"/>
        <v/>
      </c>
      <c r="J69" s="802"/>
      <c r="K69" s="802"/>
      <c r="L69" s="802"/>
      <c r="M69" s="802"/>
      <c r="N69" s="802"/>
      <c r="O69" s="802"/>
      <c r="P69" s="802"/>
      <c r="Q69" s="802"/>
      <c r="R69" s="802"/>
      <c r="S69" s="802"/>
      <c r="T69" s="802"/>
      <c r="U69" s="802"/>
      <c r="V69" s="802"/>
    </row>
    <row r="70" spans="2:22" ht="15" hidden="1">
      <c r="B70" s="811"/>
      <c r="C70" s="139" t="s">
        <v>596</v>
      </c>
      <c r="D70" s="139"/>
      <c r="E70" s="812" t="s">
        <v>597</v>
      </c>
      <c r="F70" s="813"/>
      <c r="G70" s="168"/>
      <c r="H70" s="168"/>
      <c r="I70" s="775" t="str">
        <f t="shared" si="3"/>
        <v/>
      </c>
      <c r="J70" s="802"/>
      <c r="K70" s="802"/>
      <c r="L70" s="802"/>
      <c r="M70" s="802"/>
      <c r="N70" s="802"/>
      <c r="O70" s="802"/>
      <c r="P70" s="802"/>
      <c r="Q70" s="802"/>
      <c r="R70" s="802"/>
      <c r="S70" s="802"/>
      <c r="T70" s="802"/>
      <c r="U70" s="802"/>
      <c r="V70" s="802"/>
    </row>
    <row r="71" spans="2:22" ht="15">
      <c r="B71" s="811"/>
      <c r="C71" s="139" t="s">
        <v>598</v>
      </c>
      <c r="D71" s="139"/>
      <c r="E71" s="812" t="s">
        <v>599</v>
      </c>
      <c r="F71" s="813">
        <f>+'A6. Operations'!E84+'A6. Operations'!E85+'A6. Operations'!E86+'A6. Operations'!E87+'A6. Operations'!E91+'A6. Operations'!E92+'A6. Operations'!E93+'A6. Operations'!E95+'A6. Operations'!E96+'A6. Operations'!E98+'A6. Operations'!E99+'A6. Operations'!E100+'A6. Operations'!E101+'A6. Operations'!E107+'A6. Operations'!E108+'A7. 2025 CWELCC &amp; OTEF Recon'!D41+IF('A3. Peel Region Grants'!C114&gt;'A3. Peel Region Grants'!C104,(('A3. Peel Region Grants'!C114-'A3. Peel Region Grants'!C104)-(('A3. Peel Region Grants'!C114-'A3. Peel Region Grants'!C104)*'A3. Peel Region Grants'!D105)),0)</f>
        <v>0</v>
      </c>
      <c r="G71" s="168"/>
      <c r="H71" s="168"/>
      <c r="I71" s="775" t="str">
        <f>+IFERROR(F71/$F$73,"")</f>
        <v/>
      </c>
      <c r="J71" s="802"/>
      <c r="K71" s="802"/>
      <c r="L71" s="802"/>
      <c r="M71" s="802"/>
      <c r="N71" s="802"/>
      <c r="O71" s="802"/>
      <c r="P71" s="802"/>
      <c r="Q71" s="802"/>
      <c r="R71" s="802"/>
      <c r="S71" s="802"/>
      <c r="T71" s="802"/>
      <c r="U71" s="802"/>
      <c r="V71" s="802"/>
    </row>
    <row r="72" spans="2:22" ht="15.5">
      <c r="B72" s="160"/>
      <c r="C72" s="804"/>
      <c r="D72" s="804"/>
      <c r="E72" s="804"/>
      <c r="F72" s="808"/>
      <c r="G72" s="808"/>
      <c r="H72" s="808"/>
      <c r="I72" s="815"/>
      <c r="J72" s="802"/>
      <c r="K72" s="802"/>
      <c r="L72" s="802"/>
      <c r="M72" s="802"/>
      <c r="N72" s="802"/>
      <c r="O72" s="802"/>
      <c r="P72" s="802"/>
      <c r="Q72" s="802"/>
      <c r="R72" s="802"/>
      <c r="S72" s="802"/>
      <c r="T72" s="802"/>
      <c r="U72" s="802"/>
      <c r="V72" s="802"/>
    </row>
    <row r="73" spans="2:22" ht="30.5">
      <c r="B73" s="160"/>
      <c r="C73" s="816" t="s">
        <v>600</v>
      </c>
      <c r="D73" s="816"/>
      <c r="E73" s="816"/>
      <c r="F73" s="169">
        <f>+SUM(F40:F44,F48:F52,F56:F60,F63:F71)</f>
        <v>0</v>
      </c>
      <c r="G73" s="169"/>
      <c r="H73" s="169"/>
      <c r="I73" s="778">
        <f>+SUM(I40:I72)</f>
        <v>0</v>
      </c>
      <c r="J73" s="802"/>
      <c r="K73" s="802"/>
      <c r="L73" s="802"/>
      <c r="M73" s="802"/>
      <c r="N73" s="802"/>
      <c r="O73" s="802"/>
      <c r="P73" s="802"/>
      <c r="Q73" s="802"/>
      <c r="R73" s="802"/>
      <c r="S73" s="802"/>
      <c r="T73" s="802"/>
      <c r="U73" s="802"/>
      <c r="V73" s="802"/>
    </row>
    <row r="74" spans="2:22" ht="15.5">
      <c r="B74" s="160"/>
      <c r="C74" s="816"/>
      <c r="D74" s="816"/>
      <c r="E74" s="816"/>
      <c r="F74" s="169"/>
      <c r="G74" s="169"/>
      <c r="H74" s="169"/>
      <c r="I74" s="457"/>
      <c r="J74" s="802"/>
      <c r="K74" s="802"/>
      <c r="L74" s="802"/>
      <c r="M74" s="802"/>
      <c r="N74" s="802"/>
      <c r="O74" s="802"/>
      <c r="P74" s="802"/>
      <c r="Q74" s="802"/>
      <c r="R74" s="802"/>
      <c r="S74" s="802"/>
      <c r="T74" s="802"/>
      <c r="U74" s="802"/>
      <c r="V74" s="802"/>
    </row>
    <row r="75" spans="2:22" ht="15.5">
      <c r="B75" s="163"/>
      <c r="C75" s="804" t="s">
        <v>601</v>
      </c>
      <c r="D75" s="804"/>
      <c r="E75" s="817" t="s">
        <v>602</v>
      </c>
      <c r="F75" s="799">
        <f>+'A9. SummaryOfReconciliations '!D15+'A9. SummaryOfReconciliations '!D22+'A9. SummaryOfReconciliations '!F22</f>
        <v>0</v>
      </c>
      <c r="G75" s="156"/>
      <c r="H75" s="156"/>
      <c r="I75" s="217"/>
      <c r="J75" s="802"/>
      <c r="K75" s="802"/>
      <c r="L75" s="802"/>
      <c r="M75" s="802"/>
      <c r="N75" s="802"/>
      <c r="O75" s="802"/>
      <c r="P75" s="802"/>
      <c r="Q75" s="802"/>
      <c r="R75" s="802"/>
      <c r="S75" s="802"/>
      <c r="T75" s="802"/>
      <c r="U75" s="802"/>
      <c r="V75" s="802"/>
    </row>
    <row r="76" spans="2:22" ht="15.5">
      <c r="B76" s="1"/>
      <c r="C76" s="136"/>
      <c r="D76" s="136"/>
      <c r="E76" s="136"/>
      <c r="F76" s="1"/>
      <c r="G76" s="1"/>
      <c r="H76" s="1"/>
      <c r="I76" s="622"/>
      <c r="J76" s="802"/>
      <c r="K76" s="802"/>
      <c r="L76" s="802"/>
      <c r="M76" s="802"/>
      <c r="N76" s="802"/>
      <c r="O76" s="802"/>
      <c r="P76" s="802"/>
      <c r="Q76" s="802"/>
      <c r="R76" s="802"/>
      <c r="S76" s="802"/>
      <c r="T76" s="802"/>
      <c r="U76" s="802"/>
      <c r="V76" s="802"/>
    </row>
    <row r="77" spans="2:22" ht="30.5">
      <c r="B77" s="1"/>
      <c r="C77" s="816" t="s">
        <v>603</v>
      </c>
      <c r="D77" s="816"/>
      <c r="E77" s="816"/>
      <c r="F77" s="169">
        <f>+F73+F75</f>
        <v>0</v>
      </c>
      <c r="G77" s="169"/>
      <c r="H77" s="169"/>
      <c r="I77" s="457"/>
      <c r="J77" s="802"/>
      <c r="K77" s="802"/>
      <c r="L77" s="802"/>
      <c r="M77" s="802"/>
      <c r="N77" s="802"/>
      <c r="O77" s="802"/>
      <c r="P77" s="802"/>
      <c r="Q77" s="802"/>
      <c r="R77" s="802"/>
      <c r="S77" s="802"/>
      <c r="T77" s="802"/>
      <c r="U77" s="802"/>
      <c r="V77" s="802"/>
    </row>
    <row r="78" spans="2:22" ht="15.5">
      <c r="B78" s="1"/>
      <c r="C78" s="136"/>
      <c r="D78" s="136"/>
      <c r="E78" s="136"/>
      <c r="F78" s="133"/>
      <c r="G78" s="134"/>
      <c r="H78" s="134"/>
      <c r="I78" s="622"/>
      <c r="J78" s="802"/>
      <c r="K78" s="802"/>
      <c r="L78" s="802"/>
      <c r="M78" s="802"/>
      <c r="N78" s="802"/>
      <c r="O78" s="802"/>
      <c r="P78" s="802"/>
      <c r="Q78" s="802"/>
      <c r="R78" s="802"/>
      <c r="S78" s="802"/>
      <c r="T78" s="802"/>
      <c r="U78" s="802"/>
      <c r="V78" s="802"/>
    </row>
    <row r="79" spans="2:22" ht="30.5">
      <c r="B79" s="1"/>
      <c r="C79" s="818" t="str">
        <f>"Of the "&amp;TEXT(F77,"$#,###.00")&amp;", how much was specifically spent to support the inclusion of eligible children with special needs?"</f>
        <v>Of the $.00, how much was specifically spent to support the inclusion of eligible children with special needs?</v>
      </c>
      <c r="D79" s="816"/>
      <c r="E79" s="817" t="s">
        <v>604</v>
      </c>
      <c r="F79" s="799">
        <f>+'4. KPIs'!E42</f>
        <v>0</v>
      </c>
      <c r="G79" s="169"/>
      <c r="H79" s="169"/>
      <c r="I79" s="457"/>
      <c r="J79" s="802"/>
      <c r="K79" s="802"/>
      <c r="L79" s="802"/>
      <c r="M79" s="802"/>
      <c r="N79" s="802"/>
      <c r="O79" s="802"/>
      <c r="P79" s="802"/>
      <c r="Q79" s="802"/>
      <c r="R79" s="802"/>
      <c r="S79" s="802"/>
      <c r="T79" s="802"/>
      <c r="U79" s="802"/>
      <c r="V79" s="802"/>
    </row>
    <row r="80" spans="2:22" ht="15.5">
      <c r="B80" s="1"/>
      <c r="C80" s="136"/>
      <c r="D80" s="136"/>
      <c r="E80" s="136"/>
      <c r="F80" s="1"/>
      <c r="G80" s="1"/>
      <c r="H80" s="1"/>
      <c r="I80" s="622"/>
      <c r="J80" s="802"/>
      <c r="K80" s="802"/>
      <c r="L80" s="802"/>
      <c r="M80" s="802"/>
      <c r="N80" s="802"/>
      <c r="O80" s="802"/>
      <c r="P80" s="802"/>
      <c r="Q80" s="802"/>
      <c r="R80" s="802"/>
      <c r="S80" s="802"/>
      <c r="T80" s="802"/>
      <c r="U80" s="802"/>
      <c r="V80" s="802"/>
    </row>
    <row r="81" spans="2:22" ht="15.5">
      <c r="B81" s="151"/>
      <c r="C81" s="804" t="s">
        <v>605</v>
      </c>
      <c r="D81" s="804"/>
      <c r="E81" s="819"/>
      <c r="F81" s="1" t="s">
        <v>606</v>
      </c>
      <c r="G81" s="151"/>
      <c r="H81" s="151"/>
      <c r="I81" s="1" t="s">
        <v>607</v>
      </c>
      <c r="J81" s="802"/>
      <c r="K81" s="802"/>
      <c r="L81" s="802"/>
      <c r="M81" s="802"/>
      <c r="N81" s="802"/>
      <c r="O81" s="802"/>
      <c r="P81" s="802"/>
      <c r="Q81" s="802"/>
      <c r="R81" s="802"/>
      <c r="S81" s="802"/>
      <c r="T81" s="802"/>
      <c r="U81" s="802"/>
      <c r="V81" s="802"/>
    </row>
    <row r="82" spans="2:22" ht="15">
      <c r="B82" s="170" t="s">
        <v>608</v>
      </c>
      <c r="C82" s="820">
        <f>'A1. Identification'!D14</f>
        <v>0</v>
      </c>
      <c r="D82" s="171"/>
      <c r="E82" s="170" t="s">
        <v>609</v>
      </c>
      <c r="F82" s="821">
        <f>'A1. Identification'!D15</f>
        <v>0</v>
      </c>
      <c r="G82" s="172"/>
      <c r="H82" s="170" t="s">
        <v>610</v>
      </c>
      <c r="I82" s="822">
        <f>'A1. Identification'!D16</f>
        <v>0</v>
      </c>
    </row>
    <row r="85" spans="2:22" ht="17.5">
      <c r="B85" s="797" t="s">
        <v>611</v>
      </c>
      <c r="C85" s="136"/>
      <c r="D85" s="136"/>
      <c r="E85" s="136"/>
      <c r="F85" s="152"/>
      <c r="G85" s="173"/>
      <c r="H85" s="173"/>
      <c r="I85" s="801"/>
    </row>
    <row r="86" spans="2:22" ht="17.5">
      <c r="B86" s="797"/>
      <c r="C86" s="136"/>
      <c r="D86" s="136"/>
      <c r="E86" s="136"/>
      <c r="F86" s="152"/>
      <c r="G86" s="173"/>
      <c r="H86" s="173"/>
      <c r="I86" s="801"/>
    </row>
    <row r="87" spans="2:22" ht="17.5">
      <c r="B87" s="797"/>
      <c r="C87" s="1" t="s">
        <v>612</v>
      </c>
      <c r="D87" s="151"/>
      <c r="E87" s="136"/>
      <c r="F87" s="133"/>
      <c r="G87" s="173"/>
      <c r="H87" s="173"/>
      <c r="I87" s="801"/>
    </row>
    <row r="88" spans="2:22" ht="15.5">
      <c r="B88" s="170" t="s">
        <v>613</v>
      </c>
      <c r="C88" s="823">
        <f>'A1. Identification'!D17</f>
        <v>0</v>
      </c>
      <c r="D88" s="174"/>
      <c r="E88" s="136"/>
      <c r="F88" s="152"/>
      <c r="G88" s="173"/>
      <c r="H88" s="173"/>
      <c r="I88" s="801"/>
    </row>
    <row r="89" spans="2:22" ht="17.5">
      <c r="B89" s="797"/>
      <c r="C89" s="175" t="str">
        <f>IF(AND(C88="",F10=""),"WARNING: Signing Officer and License Number are needed to complete attestation.","")</f>
        <v/>
      </c>
      <c r="D89" s="174"/>
      <c r="E89" s="136"/>
      <c r="F89" s="153"/>
      <c r="G89" s="173"/>
      <c r="H89" s="173"/>
      <c r="I89" s="801"/>
    </row>
    <row r="90" spans="2:22" ht="15.5">
      <c r="B90" s="1"/>
      <c r="C90" s="824" t="str">
        <f>IF(C88="","[The attestation text will appear once box 4C is completed]","Attestation")</f>
        <v>Attestation</v>
      </c>
      <c r="D90" s="176"/>
      <c r="E90" s="136"/>
      <c r="F90" s="152"/>
      <c r="G90" s="152"/>
      <c r="H90" s="152"/>
      <c r="I90" s="801"/>
    </row>
    <row r="91" spans="2:22" ht="15.5">
      <c r="B91" s="1"/>
      <c r="C91" s="177" t="str">
        <f>IF(C88="","","I, "&amp;C88&amp;", confirm that:")</f>
        <v>I, 0, confirm that:</v>
      </c>
      <c r="D91" s="176"/>
      <c r="E91" s="136"/>
      <c r="F91" s="1"/>
      <c r="G91" s="152"/>
      <c r="H91" s="152"/>
      <c r="I91" s="801"/>
    </row>
    <row r="92" spans="2:22" ht="15.5">
      <c r="B92" s="1"/>
      <c r="C92" s="178" t="str">
        <f>IF(C88="",""," I have signing authority with respect to licence # "&amp;F8&amp;".")</f>
        <v xml:space="preserve"> I have signing authority with respect to licence # 0.</v>
      </c>
      <c r="D92" s="176"/>
      <c r="E92" s="136"/>
      <c r="F92" s="152"/>
      <c r="G92" s="152"/>
      <c r="H92" s="152"/>
      <c r="I92" s="801"/>
    </row>
    <row r="93" spans="2:22" ht="55.5" customHeight="1">
      <c r="B93" s="1"/>
      <c r="C93" s="178" t="str">
        <f>IF(C88="","","The information contained in this Standardized Financial Report for the reporting year "&amp;F14&amp;" is accurate and a true reflection of the eligible costs incurred by the licensee for which cost-based funding was used.")</f>
        <v>The information contained in this Standardized Financial Report for the reporting year 2025 is accurate and a true reflection of the eligible costs incurred by the licensee for which cost-based funding was used.</v>
      </c>
      <c r="D93" s="176"/>
      <c r="E93" s="136"/>
      <c r="F93" s="152"/>
      <c r="G93" s="152"/>
      <c r="H93" s="152"/>
      <c r="I93" s="801"/>
    </row>
    <row r="94" spans="2:22" ht="46.5" customHeight="1">
      <c r="B94" s="1"/>
      <c r="C94" s="178" t="str">
        <f>IF(C88="","","Cost-based allocation funding was used by the licensee to cover eligible costs only in accordance with the parameters established by "&amp;F9&amp;". ")</f>
        <v xml:space="preserve">Cost-based allocation funding was used by the licensee to cover eligible costs only in accordance with the parameters established by 0. </v>
      </c>
      <c r="D94" s="176"/>
      <c r="E94" s="136"/>
      <c r="F94" s="152"/>
      <c r="G94" s="152"/>
      <c r="H94" s="152"/>
      <c r="I94" s="801"/>
    </row>
    <row r="95" spans="2:22" ht="20">
      <c r="B95" s="1"/>
      <c r="C95" s="825" t="s">
        <v>614</v>
      </c>
      <c r="D95" s="825"/>
      <c r="E95" s="825"/>
      <c r="F95" s="2" t="s">
        <v>615</v>
      </c>
      <c r="G95" s="151"/>
      <c r="H95" s="151"/>
      <c r="I95" s="1"/>
    </row>
    <row r="96" spans="2:22" ht="20">
      <c r="B96" s="1"/>
      <c r="C96" s="826">
        <f>'A1. Identification'!D26</f>
        <v>0</v>
      </c>
      <c r="D96" s="179"/>
      <c r="E96" s="170" t="s">
        <v>616</v>
      </c>
      <c r="F96" s="827">
        <f>'A1. Identification'!D28</f>
        <v>0</v>
      </c>
      <c r="G96" s="174"/>
      <c r="H96" s="174"/>
      <c r="I96" s="1"/>
    </row>
    <row r="97" spans="2:9" ht="30.5">
      <c r="B97" s="1"/>
      <c r="C97" s="136" t="s">
        <v>617</v>
      </c>
      <c r="D97" s="136"/>
      <c r="E97" s="136"/>
      <c r="F97" s="180"/>
      <c r="G97" s="181"/>
      <c r="H97" s="159"/>
      <c r="I97" s="1"/>
    </row>
  </sheetData>
  <sheetProtection algorithmName="SHA-512" hashValue="FZ9G+vQsuqU/NtsoQV5SeFwu39onTxFF6pVvfuvBLZQZ1yVnI1c184OUKazWyeyyrev5qfOeoYZdhdh8UhvxuA==" saltValue="uHvfZwWnC0/zbI80M1G18w==" spinCount="100000" sheet="1" objects="1" scenarios="1"/>
  <mergeCells count="1">
    <mergeCell ref="A1:I1"/>
  </mergeCells>
  <conditionalFormatting sqref="C91:C94">
    <cfRule type="cellIs" dxfId="18" priority="2" operator="notEqual">
      <formula>""</formula>
    </cfRule>
  </conditionalFormatting>
  <conditionalFormatting sqref="C88:D88 D89:D94">
    <cfRule type="cellIs" dxfId="17" priority="3" operator="notEqual">
      <formula>""</formula>
    </cfRule>
  </conditionalFormatting>
  <conditionalFormatting sqref="C96:D96">
    <cfRule type="notContainsBlanks" dxfId="16" priority="5">
      <formula>LEN(TRIM(C96))&gt;0</formula>
    </cfRule>
  </conditionalFormatting>
  <conditionalFormatting sqref="F21:F26">
    <cfRule type="cellIs" dxfId="15" priority="1" operator="notEqual">
      <formula>""</formula>
    </cfRule>
  </conditionalFormatting>
  <conditionalFormatting sqref="F79">
    <cfRule type="cellIs" dxfId="14" priority="6" operator="notEqual">
      <formula>""</formula>
    </cfRule>
  </conditionalFormatting>
  <conditionalFormatting sqref="F8:H14 H27">
    <cfRule type="cellIs" dxfId="13" priority="10" operator="notEqual">
      <formula>""</formula>
    </cfRule>
  </conditionalFormatting>
  <conditionalFormatting sqref="F18:H18">
    <cfRule type="cellIs" dxfId="12" priority="11" operator="notEqual">
      <formula>""</formula>
    </cfRule>
  </conditionalFormatting>
  <conditionalFormatting sqref="F32:H33 F40:H45 F48:H53 F56:H60 F63:H71 F75:H75 C82:D82 F82:G82 I82">
    <cfRule type="cellIs" dxfId="11" priority="7" operator="notEqual">
      <formula>""</formula>
    </cfRule>
  </conditionalFormatting>
  <conditionalFormatting sqref="F96:H96">
    <cfRule type="cellIs" dxfId="10" priority="4" operator="notEqual">
      <formula>""</formula>
    </cfRule>
  </conditionalFormatting>
  <conditionalFormatting sqref="I21:I26">
    <cfRule type="cellIs" dxfId="9" priority="9" operator="notEqual">
      <formula>""</formula>
    </cfRule>
  </conditionalFormatting>
  <conditionalFormatting sqref="I38:I39">
    <cfRule type="top10" dxfId="8" priority="8" percent="1" rank="10"/>
  </conditionalFormatting>
  <dataValidations count="21">
    <dataValidation type="date" allowBlank="1" showInputMessage="1" showErrorMessage="1" error="Date must be between April 1st, 2022 and December 31, 2025" prompt="(yyyy-mm-dd)" sqref="F11" xr:uid="{6D3FA880-D6B7-4A5E-83F8-1576E4017EDB}">
      <formula1>44652</formula1>
      <formula2>46022</formula2>
    </dataValidation>
    <dataValidation type="list" allowBlank="1" showInputMessage="1" showErrorMessage="1" error="Please select from drop-down list" sqref="F12" xr:uid="{AD8CB9C8-8B39-48E4-AF9E-57096DC21D61}">
      <formula1>SSMs</formula1>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8" xr:uid="{999AB711-4470-400C-AFAE-518AFA22C5C7}">
      <formula1>0</formula1>
      <formula2>365</formula2>
    </dataValidation>
    <dataValidation type="date" allowBlank="1" showInputMessage="1" showErrorMessage="1" error="Date must between April 1st, 2022 and December 31, 2025" prompt="(yyyy-mm-dd)" sqref="G11:G12" xr:uid="{9A4E36FB-D301-43A0-83CC-F6993328069D}">
      <formula1>44652</formula1>
      <formula2>46022</formula2>
    </dataValidation>
    <dataValidation type="whole" allowBlank="1" showInputMessage="1" showErrorMessage="1" error="Must be greater than zero and less than  365" sqref="G18:H18" xr:uid="{5278B73C-B460-473D-834F-C16F22B216ED}">
      <formula1>0</formula1>
      <formula2>365</formula2>
    </dataValidation>
    <dataValidation allowBlank="1" showInputMessage="1" showErrorMessage="1" prompt="For example, 10 infant licensed spaces for 200 service days and 5 infant licensed spaces for 100 service days would be (10X20)+(5X100) = 2,500 infant licensed space-days" sqref="I20" xr:uid="{F0D0472F-1D90-4674-B0E5-231E4B07EA12}"/>
    <dataValidation allowBlank="1" showInputMessage="1" showErrorMessage="1" prompt="For example, 10 infant operating spaces for 200 service days and 5 infant operating spaces for 100 service days would be (10X20)+(5X100) = 2,500 infant operating space-days" sqref="F20" xr:uid="{6CB8A945-8338-44C2-A853-5B973C39A441}"/>
    <dataValidation type="whole" operator="greaterThanOrEqual" allowBlank="1" showInputMessage="1" showErrorMessage="1" error="Must be a number greater than or equal to 0" sqref="I21:I26 F21:F26" xr:uid="{DFAB0078-89BB-4BDF-B06A-D67FDF9AB9E0}">
      <formula1>0</formula1>
    </dataValidation>
    <dataValidation type="whole" operator="greaterThanOrEqual" allowBlank="1" showInputMessage="1" showErrorMessage="1" error="Must be whole number, equal or larger than 0" sqref="F27 H27:I27" xr:uid="{DE7E48A3-F260-45A2-AFEF-D6C1D90779D1}">
      <formula1>0</formula1>
    </dataValidation>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9" xr:uid="{056D5E6B-B9F2-4187-AC4C-03411997435D}">
      <formula1>0</formula1>
      <formula2>F77</formula2>
    </dataValidation>
    <dataValidation type="custom" allowBlank="1" showInputMessage="1" showErrorMessage="1" error="Please enter valid email address" sqref="I82" xr:uid="{C41D5C23-FCF2-4ED5-BCE0-CACD9B3F1953}">
      <formula1>AND(ISNUMBER(FIND("@",I82)), ISNUMBER(FIND(".",I82)), FIND(".",I82) &gt; FIND("@",I82))</formula1>
    </dataValidation>
    <dataValidation type="decimal" operator="greaterThanOrEqual" allowBlank="1" showInputMessage="1" showErrorMessage="1" error="Must be an amount greater than or equal to 0." sqref="F33" xr:uid="{C5E624DE-2DA1-4A41-B8AE-AD9B7CBAB520}">
      <formula1>0</formula1>
    </dataValidation>
    <dataValidation type="decimal" operator="greaterThan" allowBlank="1" showInputMessage="1" showErrorMessage="1" error="Must be an amount greater than 0." sqref="F32" xr:uid="{65C190E0-1975-495D-9B90-42720248FE3B}">
      <formula1>0</formula1>
    </dataValidation>
    <dataValidation type="textLength" operator="lessThanOrEqual" allowBlank="1" showInputMessage="1" showErrorMessage="1" error="Must be 50 letters or less" sqref="C82 C88" xr:uid="{4996A7DF-F332-4B0D-A835-7EED75E08D97}">
      <formula1>50</formula1>
    </dataValidation>
    <dataValidation type="decimal" operator="greaterThan" allowBlank="1" showInputMessage="1" showErrorMessage="1" error="Must be an amount greater than or equal to zero." sqref="F48:F53 F56:F60 F40:F45 F63:F71" xr:uid="{BD0A135F-E6F2-4B89-8EE7-12991D573EB2}">
      <formula1>0</formula1>
    </dataValidation>
    <dataValidation type="textLength" operator="equal" allowBlank="1" showInputMessage="1" showErrorMessage="1" error="Please enter 10 digit phone number" prompt="Please enter 10 digit phone number" sqref="F82" xr:uid="{ADFAA413-6335-444C-B675-6297F562D245}">
      <formula1>10</formula1>
    </dataValidation>
    <dataValidation type="decimal" operator="greaterThanOrEqual" allowBlank="1" showInputMessage="1" showErrorMessage="1" sqref="G40:H44" xr:uid="{5FC9EE68-31FA-44F4-BA5F-1ABEEAE0F00A}">
      <formula1>0</formula1>
    </dataValidation>
    <dataValidation allowBlank="1" showInputMessage="1" showErrorMessage="1" prompt="Please enter phone number as (###) ### - ###" sqref="G82" xr:uid="{6784817C-8E06-4824-8C4F-D5164F14DD67}"/>
    <dataValidation type="whole" operator="greaterThanOrEqual" allowBlank="1" showInputMessage="1" showErrorMessage="1" sqref="G48:H52 F75:H75 G33:H33 G63:H71" xr:uid="{F395D2FE-EFE7-4C3F-B67F-8541F69F356A}">
      <formula1>0</formula1>
    </dataValidation>
    <dataValidation type="whole" operator="greaterThan" allowBlank="1" showInputMessage="1" showErrorMessage="1" sqref="G32:H32" xr:uid="{712260C6-90E6-44EE-8D60-07CA51DFA645}">
      <formula1>0</formula1>
    </dataValidation>
    <dataValidation type="date" operator="greaterThanOrEqual" allowBlank="1" showInputMessage="1" showErrorMessage="1" error="Must be a date not earlier than today's date" sqref="F96" xr:uid="{CB831E15-7ACD-4C30-B676-5DC0E35B6A44}">
      <formula1>TODAY()</formula1>
    </dataValidation>
  </dataValidations>
  <hyperlinks>
    <hyperlink ref="I82" r:id="rId1" display="navdip_atwal@hotmail.com" xr:uid="{CCBAA3B7-B463-48A1-8813-542C253E31C9}"/>
  </hyperlinks>
  <pageMargins left="0.7" right="0.7" top="0.75" bottom="0.75" header="0.3" footer="0.3"/>
  <pageSetup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4760D-010C-4D9D-8F89-4315B92E0520}">
  <sheetPr>
    <tabColor rgb="FFFFC000"/>
  </sheetPr>
  <dimension ref="A1:M114"/>
  <sheetViews>
    <sheetView showGridLines="0" workbookViewId="0">
      <selection sqref="A1:I1"/>
    </sheetView>
  </sheetViews>
  <sheetFormatPr defaultColWidth="0" defaultRowHeight="15" zeroHeight="1"/>
  <cols>
    <col min="1" max="1" width="3.1796875" style="1" customWidth="1"/>
    <col min="2" max="2" width="8.453125" style="1" customWidth="1"/>
    <col min="3" max="3" width="106.54296875" style="1" customWidth="1"/>
    <col min="4" max="4" width="8.453125" style="201" bestFit="1" customWidth="1"/>
    <col min="5" max="5" width="32" style="186" customWidth="1"/>
    <col min="6" max="6" width="27.453125" style="187" customWidth="1"/>
    <col min="7" max="7" width="43.1796875" style="1" hidden="1" customWidth="1"/>
    <col min="8" max="8" width="21.81640625" style="211" hidden="1" customWidth="1"/>
    <col min="9" max="9" width="7.1796875" style="1" hidden="1" customWidth="1"/>
    <col min="10" max="16384" width="9.1796875" style="1" hidden="1"/>
  </cols>
  <sheetData>
    <row r="1" spans="1:13" ht="26">
      <c r="A1" s="1139" t="s">
        <v>744</v>
      </c>
      <c r="B1" s="1138"/>
      <c r="C1" s="1138"/>
      <c r="D1" s="1138"/>
      <c r="E1" s="1138"/>
      <c r="F1" s="1138"/>
      <c r="G1" s="1138"/>
      <c r="H1" s="1138"/>
      <c r="I1" s="1138"/>
    </row>
    <row r="2" spans="1:13"/>
    <row r="3" spans="1:13" s="183" customFormat="1" ht="34.5" customHeight="1">
      <c r="A3" s="125" t="s">
        <v>496</v>
      </c>
      <c r="B3" s="126"/>
      <c r="C3" s="127"/>
      <c r="D3" s="182"/>
      <c r="E3" s="128"/>
      <c r="F3" s="129"/>
    </row>
    <row r="4" spans="1:13" ht="20">
      <c r="A4" s="184"/>
      <c r="B4" s="130"/>
      <c r="C4" s="130"/>
      <c r="D4" s="185"/>
      <c r="H4" s="1"/>
    </row>
    <row r="5" spans="1:13">
      <c r="A5" s="130"/>
      <c r="B5" s="130"/>
      <c r="C5" s="130"/>
      <c r="D5" s="185"/>
      <c r="H5" s="188"/>
    </row>
    <row r="6" spans="1:13" ht="17.5">
      <c r="B6" s="135" t="s">
        <v>497</v>
      </c>
      <c r="C6" s="136"/>
      <c r="D6" s="136"/>
      <c r="E6" s="136"/>
      <c r="F6" s="189"/>
      <c r="G6" s="189"/>
      <c r="H6" s="189"/>
      <c r="J6"/>
      <c r="K6" s="188"/>
      <c r="M6"/>
    </row>
    <row r="7" spans="1:13" ht="15.5">
      <c r="B7" s="190" t="s">
        <v>618</v>
      </c>
      <c r="C7" s="136"/>
      <c r="D7" s="136"/>
      <c r="E7" s="136"/>
      <c r="F7" s="189"/>
      <c r="G7" s="189"/>
      <c r="H7" s="189"/>
      <c r="J7"/>
      <c r="K7" s="188"/>
      <c r="L7" s="130"/>
      <c r="M7"/>
    </row>
    <row r="8" spans="1:13" s="137" customFormat="1">
      <c r="B8" s="138" t="s">
        <v>619</v>
      </c>
      <c r="C8" s="139"/>
      <c r="D8" s="139"/>
      <c r="E8" s="191" t="s">
        <v>735</v>
      </c>
      <c r="G8" s="192"/>
      <c r="H8" s="192"/>
      <c r="I8" s="1"/>
      <c r="L8" s="193"/>
    </row>
    <row r="9" spans="1:13" s="137" customFormat="1">
      <c r="B9" s="138" t="s">
        <v>303</v>
      </c>
      <c r="C9" s="139"/>
      <c r="D9" s="194" t="s">
        <v>500</v>
      </c>
      <c r="E9" s="195">
        <f>'A6. Operations'!F7</f>
        <v>0</v>
      </c>
      <c r="G9" s="196"/>
      <c r="H9" s="196"/>
      <c r="I9" s="1"/>
      <c r="K9" s="197"/>
      <c r="L9" s="193"/>
    </row>
    <row r="10" spans="1:13" s="137" customFormat="1">
      <c r="B10" s="138" t="s">
        <v>501</v>
      </c>
      <c r="D10" s="194" t="s">
        <v>502</v>
      </c>
      <c r="E10" s="195">
        <f>'A11.Licensee''s SFR&amp; Attestation'!F9</f>
        <v>0</v>
      </c>
      <c r="G10" s="196"/>
      <c r="H10" s="196"/>
      <c r="K10" s="197"/>
    </row>
    <row r="11" spans="1:13" s="137" customFormat="1">
      <c r="B11" s="138" t="s">
        <v>620</v>
      </c>
      <c r="C11" s="139"/>
      <c r="D11" s="194" t="s">
        <v>511</v>
      </c>
      <c r="E11" s="195">
        <v>2025</v>
      </c>
      <c r="G11" s="198"/>
      <c r="H11" s="198"/>
      <c r="I11" s="1"/>
      <c r="L11" s="193"/>
    </row>
    <row r="12" spans="1:13" ht="7.5" customHeight="1">
      <c r="C12" s="151"/>
      <c r="D12" s="185"/>
      <c r="E12" s="199"/>
      <c r="H12" s="188"/>
    </row>
    <row r="13" spans="1:13">
      <c r="A13" s="130"/>
      <c r="B13" s="200" t="s">
        <v>621</v>
      </c>
      <c r="H13" s="188"/>
    </row>
    <row r="14" spans="1:13">
      <c r="A14" s="130"/>
      <c r="B14" s="190" t="s">
        <v>622</v>
      </c>
      <c r="H14" s="188"/>
    </row>
    <row r="15" spans="1:13" ht="30">
      <c r="B15" s="202"/>
      <c r="C15" s="203" t="s">
        <v>623</v>
      </c>
      <c r="D15" s="204" t="s">
        <v>624</v>
      </c>
      <c r="E15" s="205">
        <f>+'A2.Allocation &amp; Operating Plan'!E21</f>
        <v>0</v>
      </c>
      <c r="F15" s="206"/>
      <c r="H15" s="188"/>
    </row>
    <row r="16" spans="1:13">
      <c r="B16" s="207"/>
      <c r="C16" s="197" t="s">
        <v>625</v>
      </c>
      <c r="D16" s="204" t="s">
        <v>626</v>
      </c>
      <c r="E16" s="205">
        <f>+'A3. Peel Region Grants'!C68+'A3. Peel Region Grants'!C108</f>
        <v>0</v>
      </c>
      <c r="F16" s="208"/>
      <c r="H16" s="188"/>
    </row>
    <row r="17" spans="1:9" ht="7.5" customHeight="1">
      <c r="C17" s="151"/>
      <c r="D17" s="185"/>
      <c r="E17" s="199"/>
      <c r="H17" s="188"/>
    </row>
    <row r="18" spans="1:9">
      <c r="A18" s="130"/>
      <c r="B18" s="190" t="s">
        <v>627</v>
      </c>
      <c r="H18" s="188"/>
    </row>
    <row r="19" spans="1:9">
      <c r="A19" s="130"/>
      <c r="B19" s="190" t="s">
        <v>628</v>
      </c>
      <c r="H19" s="188"/>
    </row>
    <row r="20" spans="1:9">
      <c r="A20" s="130"/>
      <c r="B20" s="207"/>
      <c r="C20" s="138" t="s">
        <v>629</v>
      </c>
      <c r="D20" s="166" t="s">
        <v>630</v>
      </c>
      <c r="E20" s="209">
        <f>+'A2.Allocation &amp; Operating Plan'!E10+'A2.Allocation &amp; Operating Plan'!E11+'A2.Allocation &amp; Operating Plan'!E12+'A2.Allocation &amp; Operating Plan'!E13+'A2.Allocation &amp; Operating Plan'!E14</f>
        <v>0</v>
      </c>
      <c r="F20" s="210"/>
    </row>
    <row r="21" spans="1:9">
      <c r="A21" s="130"/>
      <c r="B21" s="154"/>
      <c r="C21" s="212" t="s">
        <v>631</v>
      </c>
      <c r="D21" s="166" t="s">
        <v>632</v>
      </c>
      <c r="E21" s="209">
        <f>+'A2.Allocation &amp; Operating Plan'!E15</f>
        <v>0</v>
      </c>
      <c r="F21" s="210"/>
      <c r="G21" s="213"/>
      <c r="H21" s="213"/>
      <c r="I21" s="213"/>
    </row>
    <row r="22" spans="1:9">
      <c r="A22" s="130"/>
      <c r="B22" s="154"/>
      <c r="C22" s="212" t="s">
        <v>633</v>
      </c>
      <c r="D22" s="166" t="s">
        <v>634</v>
      </c>
      <c r="E22" s="209">
        <f>+'A2.Allocation &amp; Operating Plan'!E16</f>
        <v>0</v>
      </c>
      <c r="F22" s="210"/>
      <c r="G22" s="213"/>
      <c r="H22" s="213"/>
      <c r="I22" s="213"/>
    </row>
    <row r="23" spans="1:9">
      <c r="A23" s="130"/>
      <c r="B23" s="154"/>
      <c r="C23" s="214" t="s">
        <v>635</v>
      </c>
      <c r="D23" s="215"/>
      <c r="E23" s="216">
        <f>SUM(E20:E22)</f>
        <v>0</v>
      </c>
      <c r="F23" s="210"/>
      <c r="H23" s="1"/>
    </row>
    <row r="24" spans="1:9">
      <c r="B24" s="154"/>
      <c r="C24" s="212" t="s">
        <v>636</v>
      </c>
      <c r="D24" s="166" t="s">
        <v>637</v>
      </c>
      <c r="E24" s="209">
        <f>+'A2.Allocation &amp; Operating Plan'!E20</f>
        <v>0</v>
      </c>
      <c r="F24" s="210"/>
      <c r="H24" s="188"/>
    </row>
    <row r="25" spans="1:9">
      <c r="B25" s="154"/>
      <c r="C25" s="212" t="s">
        <v>638</v>
      </c>
      <c r="D25" s="166" t="s">
        <v>639</v>
      </c>
      <c r="E25" s="209">
        <f>'A2.Allocation &amp; Operating Plan'!E18</f>
        <v>0</v>
      </c>
      <c r="F25" s="217"/>
      <c r="H25" s="188"/>
    </row>
    <row r="26" spans="1:9">
      <c r="A26" s="130"/>
      <c r="B26" s="154"/>
      <c r="C26" s="214" t="s">
        <v>640</v>
      </c>
      <c r="D26" s="215"/>
      <c r="E26" s="216">
        <f>SUM(E23:E25)</f>
        <v>0</v>
      </c>
      <c r="F26" s="218"/>
      <c r="H26" s="188"/>
    </row>
    <row r="27" spans="1:9">
      <c r="A27" s="151"/>
      <c r="B27" s="154"/>
      <c r="C27" s="219" t="s">
        <v>641</v>
      </c>
      <c r="D27" s="166" t="s">
        <v>642</v>
      </c>
      <c r="E27" s="209">
        <f>E16</f>
        <v>0</v>
      </c>
      <c r="F27" s="210"/>
      <c r="H27" s="188"/>
    </row>
    <row r="28" spans="1:9" ht="7.5" customHeight="1">
      <c r="C28" s="151"/>
      <c r="D28" s="185"/>
      <c r="E28" s="199"/>
      <c r="H28" s="188"/>
    </row>
    <row r="29" spans="1:9">
      <c r="B29" s="220" t="s">
        <v>643</v>
      </c>
      <c r="E29" s="199"/>
      <c r="F29" s="221"/>
      <c r="H29" s="188"/>
    </row>
    <row r="30" spans="1:9">
      <c r="B30" s="190" t="s">
        <v>644</v>
      </c>
      <c r="E30" s="2"/>
      <c r="G30" s="222"/>
      <c r="H30" s="222"/>
    </row>
    <row r="31" spans="1:9">
      <c r="B31" s="160"/>
      <c r="C31" s="223" t="s">
        <v>645</v>
      </c>
      <c r="D31" s="224"/>
      <c r="E31" s="225">
        <f>'A11.Licensee''s SFR&amp; Attestation'!F73</f>
        <v>0</v>
      </c>
      <c r="F31" s="779"/>
      <c r="G31" s="222"/>
      <c r="H31" s="222"/>
    </row>
    <row r="32" spans="1:9" ht="19" customHeight="1">
      <c r="B32" s="160"/>
      <c r="C32" s="226" t="s">
        <v>646</v>
      </c>
      <c r="D32" s="227"/>
      <c r="E32" s="228">
        <f>ProgramCostsAllocation</f>
        <v>0</v>
      </c>
      <c r="F32" s="210"/>
      <c r="G32" s="222"/>
      <c r="H32" s="222"/>
    </row>
    <row r="33" spans="1:8">
      <c r="B33" s="207"/>
      <c r="C33" s="229" t="s">
        <v>647</v>
      </c>
      <c r="D33" s="166" t="s">
        <v>648</v>
      </c>
      <c r="E33" s="230">
        <f>MIN(E31,E32)</f>
        <v>0</v>
      </c>
      <c r="F33" s="210"/>
      <c r="G33" s="222"/>
      <c r="H33" s="222"/>
    </row>
    <row r="34" spans="1:8" ht="7.5" customHeight="1">
      <c r="C34" s="151"/>
      <c r="D34" s="185"/>
      <c r="E34" s="199"/>
      <c r="H34" s="188"/>
    </row>
    <row r="35" spans="1:8">
      <c r="B35" s="220" t="s">
        <v>649</v>
      </c>
      <c r="C35" s="151"/>
      <c r="D35" s="185"/>
      <c r="E35" s="199"/>
      <c r="G35" s="222"/>
      <c r="H35" s="222"/>
    </row>
    <row r="36" spans="1:8">
      <c r="B36" s="190" t="s">
        <v>650</v>
      </c>
      <c r="E36" s="199"/>
      <c r="G36" s="222"/>
      <c r="H36" s="222"/>
    </row>
    <row r="37" spans="1:8" s="137" customFormat="1">
      <c r="C37" s="226" t="s">
        <v>651</v>
      </c>
      <c r="D37" s="227"/>
      <c r="E37" s="231">
        <f>4.25%*ActualProgramCosts</f>
        <v>0</v>
      </c>
      <c r="F37" s="218"/>
      <c r="G37" s="232"/>
      <c r="H37" s="232"/>
    </row>
    <row r="38" spans="1:8" s="137" customFormat="1" ht="30">
      <c r="C38" s="226" t="s">
        <v>652</v>
      </c>
      <c r="D38" s="227"/>
      <c r="E38" s="231">
        <f>3.5%*MIN(ActualProgramCosts,BenchmarkAllocation)</f>
        <v>0</v>
      </c>
      <c r="F38" s="210"/>
      <c r="G38" s="232"/>
      <c r="H38" s="232"/>
    </row>
    <row r="39" spans="1:8" s="137" customFormat="1" ht="30">
      <c r="C39" s="226" t="s">
        <v>653</v>
      </c>
      <c r="D39" s="227"/>
      <c r="E39" s="233">
        <f>'A7. 2025 CWELCC &amp; OTEF Recon'!D69</f>
        <v>0</v>
      </c>
      <c r="F39" s="234"/>
      <c r="G39" s="235"/>
      <c r="H39" s="235"/>
    </row>
    <row r="40" spans="1:8">
      <c r="B40" s="236"/>
      <c r="C40" s="237" t="s">
        <v>654</v>
      </c>
      <c r="D40" s="166" t="s">
        <v>655</v>
      </c>
      <c r="E40" s="238">
        <f>ROUND(SUM(E37:E39),0)</f>
        <v>0</v>
      </c>
      <c r="F40" s="210"/>
      <c r="G40" s="239"/>
      <c r="H40" s="239"/>
    </row>
    <row r="41" spans="1:8" ht="7.5" customHeight="1">
      <c r="C41" s="151"/>
      <c r="D41" s="185"/>
      <c r="E41" s="199"/>
      <c r="H41" s="188"/>
    </row>
    <row r="42" spans="1:8">
      <c r="B42" s="220" t="s">
        <v>656</v>
      </c>
      <c r="C42" s="151"/>
      <c r="D42" s="185"/>
      <c r="E42" s="199"/>
      <c r="H42" s="188"/>
    </row>
    <row r="43" spans="1:8">
      <c r="B43" s="190" t="s">
        <v>657</v>
      </c>
      <c r="E43" s="2"/>
      <c r="H43" s="188"/>
    </row>
    <row r="44" spans="1:8">
      <c r="B44" s="240"/>
      <c r="C44" s="1" t="s">
        <v>658</v>
      </c>
      <c r="E44" s="241">
        <f>'A11.Licensee''s SFR&amp; Attestation'!F32</f>
        <v>0</v>
      </c>
      <c r="F44" s="210"/>
      <c r="H44" s="188"/>
    </row>
    <row r="45" spans="1:8">
      <c r="B45" s="240"/>
      <c r="C45" s="1" t="s">
        <v>659</v>
      </c>
      <c r="E45" s="241">
        <f>'A11.Licensee''s SFR&amp; Attestation'!F33</f>
        <v>0</v>
      </c>
      <c r="F45" s="210"/>
      <c r="H45" s="188"/>
    </row>
    <row r="46" spans="1:8">
      <c r="B46" s="240"/>
      <c r="C46" s="1" t="s">
        <v>660</v>
      </c>
      <c r="E46" s="241">
        <f>-E25</f>
        <v>0</v>
      </c>
      <c r="F46" s="242"/>
      <c r="H46" s="188"/>
    </row>
    <row r="47" spans="1:8">
      <c r="A47" s="151"/>
      <c r="B47" s="207"/>
      <c r="C47" s="237" t="s">
        <v>661</v>
      </c>
      <c r="D47" s="166" t="s">
        <v>662</v>
      </c>
      <c r="E47" s="238">
        <f>MAX(E46,E44+E45)</f>
        <v>0</v>
      </c>
      <c r="F47" s="210"/>
      <c r="H47" s="188"/>
    </row>
    <row r="48" spans="1:8" ht="7.5" customHeight="1">
      <c r="C48" s="151"/>
      <c r="D48" s="185"/>
      <c r="E48" s="199"/>
      <c r="H48" s="188"/>
    </row>
    <row r="49" spans="1:8">
      <c r="A49" s="151"/>
      <c r="B49" s="220" t="s">
        <v>663</v>
      </c>
      <c r="C49" s="151"/>
      <c r="D49" s="185"/>
      <c r="E49" s="243"/>
      <c r="H49" s="188"/>
    </row>
    <row r="50" spans="1:8">
      <c r="A50" s="151"/>
      <c r="B50" s="190" t="s">
        <v>664</v>
      </c>
      <c r="C50" s="151"/>
      <c r="D50" s="185"/>
      <c r="E50" s="243"/>
      <c r="H50" s="188"/>
    </row>
    <row r="51" spans="1:8">
      <c r="A51" s="151"/>
      <c r="B51" s="220"/>
      <c r="C51" s="1" t="s">
        <v>542</v>
      </c>
      <c r="E51" s="228">
        <f>+E33</f>
        <v>0</v>
      </c>
      <c r="F51" s="210"/>
      <c r="H51" s="188"/>
    </row>
    <row r="52" spans="1:8">
      <c r="A52" s="151"/>
      <c r="B52" s="220"/>
      <c r="C52" s="1" t="s">
        <v>665</v>
      </c>
      <c r="E52" s="228">
        <f>+E40</f>
        <v>0</v>
      </c>
      <c r="F52" s="210"/>
      <c r="H52" s="188"/>
    </row>
    <row r="53" spans="1:8">
      <c r="A53" s="151"/>
      <c r="B53" s="220"/>
      <c r="C53" s="1" t="s">
        <v>666</v>
      </c>
      <c r="E53" s="241">
        <f>-E47</f>
        <v>0</v>
      </c>
      <c r="F53" s="242"/>
      <c r="H53" s="188"/>
    </row>
    <row r="54" spans="1:8">
      <c r="B54" s="207"/>
      <c r="C54" s="237" t="s">
        <v>667</v>
      </c>
      <c r="D54" s="166" t="s">
        <v>668</v>
      </c>
      <c r="E54" s="238">
        <f>SUM(E51:E53)</f>
        <v>0</v>
      </c>
      <c r="F54" s="210"/>
      <c r="H54" s="188"/>
    </row>
    <row r="55" spans="1:8" ht="7.5" customHeight="1">
      <c r="C55" s="151"/>
      <c r="D55" s="185"/>
      <c r="E55" s="199"/>
      <c r="H55" s="188"/>
    </row>
    <row r="56" spans="1:8">
      <c r="A56" s="151"/>
      <c r="B56" s="244" t="s">
        <v>669</v>
      </c>
      <c r="C56" s="245"/>
      <c r="D56" s="246"/>
      <c r="E56" s="206"/>
      <c r="H56" s="188"/>
    </row>
    <row r="57" spans="1:8">
      <c r="A57" s="151"/>
      <c r="B57" s="190" t="s">
        <v>670</v>
      </c>
      <c r="C57" s="245"/>
      <c r="D57" s="246"/>
      <c r="E57" s="247"/>
      <c r="H57" s="188"/>
    </row>
    <row r="58" spans="1:8">
      <c r="C58" s="248" t="s">
        <v>671</v>
      </c>
      <c r="E58" s="228">
        <f>+E15</f>
        <v>0</v>
      </c>
      <c r="F58" s="210"/>
      <c r="H58" s="188"/>
    </row>
    <row r="59" spans="1:8">
      <c r="B59" s="207"/>
      <c r="C59" s="248" t="s">
        <v>672</v>
      </c>
      <c r="E59" s="228">
        <f>+E54</f>
        <v>0</v>
      </c>
      <c r="F59" s="210"/>
      <c r="H59" s="188"/>
    </row>
    <row r="60" spans="1:8">
      <c r="B60" s="207"/>
      <c r="C60" s="237" t="str" cm="1">
        <f t="array" ref="C60">+_xlfn.IFS(E60=0,"= No amount due", E60&lt;0,"= Payable to the licensee in respect Actual Cost-Based Funding", 1,"= Overpayment. Amount payable to the CMSM/DSSAB in respect of Actual Cost-Based Funding")</f>
        <v>= No amount due</v>
      </c>
      <c r="D60" s="166" t="s">
        <v>673</v>
      </c>
      <c r="E60" s="238">
        <f>ROUND(E58-E59,2)</f>
        <v>0</v>
      </c>
      <c r="F60" s="210"/>
      <c r="G60" s="206"/>
      <c r="H60" s="188"/>
    </row>
    <row r="61" spans="1:8" ht="12.75" customHeight="1">
      <c r="C61" s="151"/>
      <c r="D61" s="185"/>
      <c r="E61" s="199"/>
      <c r="H61" s="188"/>
    </row>
    <row r="62" spans="1:8" ht="15.75" customHeight="1">
      <c r="A62" s="151"/>
      <c r="B62" s="190" t="s">
        <v>674</v>
      </c>
      <c r="C62" s="245"/>
      <c r="D62" s="246"/>
      <c r="E62" s="247"/>
      <c r="F62" s="1140" t="str">
        <f>IF('A3. Peel Region Grants'!D74&gt;0,"Deferred revenue and amount spent being added as spent until recon completed."," ")</f>
        <v xml:space="preserve"> </v>
      </c>
      <c r="H62" s="188"/>
    </row>
    <row r="63" spans="1:8" ht="15.75" customHeight="1">
      <c r="B63" s="249"/>
      <c r="C63" s="188" t="s">
        <v>675</v>
      </c>
      <c r="D63" s="250"/>
      <c r="E63" s="228">
        <f>'A11.Licensee''s SFR&amp; Attestation'!F75</f>
        <v>0</v>
      </c>
      <c r="F63" s="1140"/>
      <c r="H63" s="159"/>
    </row>
    <row r="64" spans="1:8">
      <c r="A64" s="151"/>
      <c r="B64" s="251"/>
      <c r="C64" s="188" t="s">
        <v>676</v>
      </c>
      <c r="D64" s="250"/>
      <c r="E64" s="228">
        <f>+E27</f>
        <v>0</v>
      </c>
      <c r="F64" s="1140"/>
      <c r="H64" s="252"/>
    </row>
    <row r="65" spans="1:8">
      <c r="B65" s="163"/>
      <c r="C65" s="253" t="s">
        <v>677</v>
      </c>
      <c r="D65" s="166" t="s">
        <v>678</v>
      </c>
      <c r="E65" s="254">
        <f>MIN(E64,E63)</f>
        <v>0</v>
      </c>
      <c r="F65" s="1140"/>
      <c r="H65" s="159"/>
    </row>
    <row r="66" spans="1:8">
      <c r="B66" s="255"/>
      <c r="C66" s="197" t="s">
        <v>679</v>
      </c>
      <c r="D66" s="250"/>
      <c r="E66" s="228">
        <f>+E16</f>
        <v>0</v>
      </c>
      <c r="F66" s="1140"/>
      <c r="H66" s="252"/>
    </row>
    <row r="67" spans="1:8">
      <c r="B67" s="257"/>
      <c r="C67" s="258" t="str" cm="1">
        <f t="array" ref="C67">+_xlfn.IFS(E67=0,"= No amount due",E67&lt;0,"= Payable to the licensee in respect Actual Cost-Based Funding",1, "= Overpayment. Amount payable to the CMSM/DSSAB in respect of one-time, unexpected cost")</f>
        <v>= No amount due</v>
      </c>
      <c r="D67" s="166" t="s">
        <v>680</v>
      </c>
      <c r="E67" s="238">
        <f>+E66-E65</f>
        <v>0</v>
      </c>
      <c r="F67" s="256"/>
      <c r="G67" s="206"/>
      <c r="H67" s="216"/>
    </row>
    <row r="68" spans="1:8">
      <c r="B68" s="257"/>
      <c r="D68" s="556"/>
      <c r="E68" s="1"/>
      <c r="F68" s="256"/>
      <c r="G68" s="206"/>
      <c r="H68" s="216"/>
    </row>
    <row r="69" spans="1:8" ht="16.5" customHeight="1">
      <c r="C69" s="151"/>
      <c r="D69" s="185"/>
      <c r="E69" s="199"/>
      <c r="H69" s="188"/>
    </row>
    <row r="70" spans="1:8">
      <c r="A70" s="151"/>
      <c r="B70" s="190" t="s">
        <v>681</v>
      </c>
      <c r="C70" s="245"/>
      <c r="D70" s="246"/>
      <c r="E70" s="247"/>
      <c r="H70" s="188"/>
    </row>
    <row r="71" spans="1:8" ht="20">
      <c r="C71" s="259" t="str" cm="1">
        <f t="array" ref="C71">+_xlfn.IFS(E60=0,"= No amount due",E60&lt;0,"= Payable to the licensee",1,"= Overpayment payable to the CMSM/DSSAB")</f>
        <v>= No amount due</v>
      </c>
      <c r="D71" s="260"/>
      <c r="E71" s="261">
        <f>ROUND(IF(SUM(E15:E16,E20:E22,E24:E25,E27)=0,0,E60+E67),2)</f>
        <v>0</v>
      </c>
      <c r="F71" s="262"/>
    </row>
    <row r="72" spans="1:8" ht="18" customHeight="1">
      <c r="C72" s="151"/>
      <c r="D72" s="185"/>
      <c r="E72" s="199"/>
      <c r="H72" s="188"/>
    </row>
    <row r="73" spans="1:8">
      <c r="A73" s="151"/>
      <c r="B73" s="244" t="s">
        <v>682</v>
      </c>
      <c r="C73" s="263"/>
      <c r="D73" s="264"/>
      <c r="E73" s="265"/>
      <c r="G73" s="223"/>
      <c r="H73" s="188"/>
    </row>
    <row r="74" spans="1:8">
      <c r="A74" s="151"/>
      <c r="B74" s="190" t="s">
        <v>683</v>
      </c>
      <c r="C74" s="263"/>
      <c r="D74" s="264"/>
      <c r="E74" s="265"/>
      <c r="G74" s="223"/>
      <c r="H74" s="188"/>
    </row>
    <row r="75" spans="1:8">
      <c r="A75" s="151"/>
      <c r="B75" s="244"/>
      <c r="C75" s="248" t="s">
        <v>684</v>
      </c>
      <c r="D75" s="264"/>
      <c r="E75" s="266">
        <f>+ActualProgramCosts</f>
        <v>0</v>
      </c>
      <c r="G75" s="223"/>
      <c r="H75" s="188"/>
    </row>
    <row r="76" spans="1:8">
      <c r="A76" s="151"/>
      <c r="B76" s="244"/>
      <c r="C76" s="248" t="str">
        <f>+C20</f>
        <v>Benchmark Allocation</v>
      </c>
      <c r="D76" s="264"/>
      <c r="E76" s="266">
        <f>+BenchmarkAllocation</f>
        <v>0</v>
      </c>
      <c r="G76" s="223"/>
      <c r="H76" s="188"/>
    </row>
    <row r="77" spans="1:8">
      <c r="A77" s="130" t="s">
        <v>849</v>
      </c>
      <c r="B77" s="267"/>
      <c r="C77" s="268" t="s">
        <v>746</v>
      </c>
      <c r="D77" s="166" t="s">
        <v>685</v>
      </c>
      <c r="E77" s="269" t="e" cm="1">
        <f t="array" ref="E77">_xlfn.IFS(BenchmarkAllocation="","",ActualProgramCosts-BenchmarkAllocation&lt;0,0,1,ROUND((ActualProgramCosts-BenchmarkAllocation)/BenchmarkAllocation,4))</f>
        <v>#DIV/0!</v>
      </c>
      <c r="F77" s="270"/>
      <c r="G77" s="271"/>
      <c r="H77" s="272"/>
    </row>
    <row r="78" spans="1:8" ht="7.5" customHeight="1">
      <c r="C78" s="151"/>
      <c r="D78" s="185"/>
      <c r="E78" s="199"/>
      <c r="H78" s="188"/>
    </row>
    <row r="79" spans="1:8">
      <c r="B79" s="190" t="s">
        <v>686</v>
      </c>
      <c r="D79" s="273" t="s">
        <v>687</v>
      </c>
      <c r="E79" s="274"/>
      <c r="F79" s="557"/>
    </row>
    <row r="80" spans="1:8"/>
    <row r="81"/>
    <row r="82"/>
    <row r="83"/>
    <row r="94"/>
    <row r="95"/>
    <row r="96"/>
    <row r="97"/>
    <row r="98"/>
    <row r="99"/>
    <row r="106"/>
    <row r="107"/>
    <row r="108"/>
    <row r="109"/>
    <row r="110"/>
    <row r="111"/>
    <row r="112"/>
    <row r="113"/>
    <row r="114"/>
  </sheetData>
  <sheetProtection algorithmName="SHA-512" hashValue="B5/0di1SbyYg7lPbaywucU+bGFRGmelqSFu/rcSjacs4EouZ7bXSgJvNos1UZadbILFGuN6TaPiSxZabKMKdPQ==" saltValue="PuH+xP9W6M9PkhN1aEb0DA==" spinCount="100000" sheet="1" objects="1" scenarios="1"/>
  <mergeCells count="2">
    <mergeCell ref="A1:I1"/>
    <mergeCell ref="F62:F66"/>
  </mergeCells>
  <conditionalFormatting sqref="E8:E11 G8:H11">
    <cfRule type="cellIs" dxfId="7" priority="2" operator="notEqual">
      <formula>""</formula>
    </cfRule>
  </conditionalFormatting>
  <conditionalFormatting sqref="E15:E16 E20:E22 E24:E25 E27">
    <cfRule type="notContainsBlanks" dxfId="6" priority="3">
      <formula>LEN(TRIM(E15))&gt;0</formula>
    </cfRule>
  </conditionalFormatting>
  <conditionalFormatting sqref="E79">
    <cfRule type="cellIs" dxfId="5" priority="1" operator="notEqual">
      <formula>""</formula>
    </cfRule>
  </conditionalFormatting>
  <dataValidations count="4">
    <dataValidation type="date" operator="greaterThanOrEqual" allowBlank="1" showInputMessage="1" showErrorMessage="1" error="Must be a date not earlier than today's date" sqref="E79" xr:uid="{31CF96B9-0AA4-48A8-98FB-0B9FD1F65A20}">
      <formula1>TODAY()</formula1>
    </dataValidation>
    <dataValidation type="decimal" operator="lessThan" allowBlank="1" showInputMessage="1" showErrorMessage="1" error="Must be an amount less than 0." sqref="E25" xr:uid="{7A40EAD3-4978-4EF4-9AB0-5675ECF1073B}">
      <formula1>0</formula1>
    </dataValidation>
    <dataValidation type="decimal" operator="greaterThan" allowBlank="1" showInputMessage="1" showErrorMessage="1" error="Must be an amount greater than 0." sqref="E15 E20:E22 E24" xr:uid="{F189BFD0-0563-43DA-8AEB-53043AB91554}">
      <formula1>0</formula1>
    </dataValidation>
    <dataValidation type="decimal" operator="greaterThanOrEqual" allowBlank="1" showInputMessage="1" showErrorMessage="1" error="Must be an amount greater than or equal to 0." sqref="E16 E27" xr:uid="{0417A164-031C-4C3B-83A2-C236B16AEDCC}">
      <formula1>0</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FF83E-7795-4754-AFA5-F2E210B16458}">
  <sheetPr>
    <tabColor rgb="FFFF0000"/>
  </sheetPr>
  <dimension ref="A1:W19"/>
  <sheetViews>
    <sheetView showGridLines="0" zoomScaleNormal="100" workbookViewId="0">
      <selection activeCell="U6" sqref="U6"/>
    </sheetView>
  </sheetViews>
  <sheetFormatPr defaultColWidth="9.1796875" defaultRowHeight="14.5"/>
  <cols>
    <col min="1" max="1" width="31.54296875" style="3" customWidth="1"/>
    <col min="2" max="2" width="20.54296875" style="828" customWidth="1"/>
    <col min="3" max="3" width="20.1796875" style="828" customWidth="1"/>
    <col min="4" max="4" width="1.453125" style="828" customWidth="1"/>
    <col min="5" max="5" width="17.453125" style="828" bestFit="1" customWidth="1"/>
    <col min="6" max="6" width="2.54296875" style="828" customWidth="1"/>
    <col min="7" max="7" width="9" style="828" bestFit="1" customWidth="1"/>
    <col min="8" max="8" width="12.453125" style="828" customWidth="1"/>
    <col min="9" max="9" width="12.54296875" style="828" customWidth="1"/>
    <col min="10" max="10" width="11.1796875" style="828" bestFit="1" customWidth="1"/>
    <col min="11" max="11" width="2.54296875" style="828" customWidth="1"/>
    <col min="12" max="12" width="9" style="828" bestFit="1" customWidth="1"/>
    <col min="13" max="13" width="2.54296875" style="828" customWidth="1"/>
    <col min="14" max="14" width="17.453125" style="828" bestFit="1" customWidth="1"/>
    <col min="15" max="15" width="2" style="69" customWidth="1"/>
    <col min="16" max="16" width="2.54296875" style="828" customWidth="1"/>
    <col min="17" max="17" width="15.54296875" style="828" bestFit="1" customWidth="1"/>
    <col min="18" max="18" width="9.453125" style="828" customWidth="1"/>
    <col min="19" max="25" width="9.453125" style="3" customWidth="1"/>
    <col min="26" max="16384" width="9.1796875" style="3"/>
  </cols>
  <sheetData>
    <row r="1" spans="1:23" ht="23.5">
      <c r="A1" s="455" t="str">
        <f>IF('A1. Identification'!D7=0, "2025 FAIR, CWELCC and OTEF Reconciliation for Single Site Operators",'A1. Identification'!D7)</f>
        <v>2025 FAIR, CWELCC and OTEF Reconciliation for Single Site Operators</v>
      </c>
      <c r="B1" s="455"/>
      <c r="C1" s="455"/>
      <c r="D1" s="455"/>
      <c r="E1" s="455"/>
      <c r="F1" s="295"/>
      <c r="G1" s="295"/>
    </row>
    <row r="2" spans="1:23" ht="23.5">
      <c r="A2" s="68" t="s">
        <v>250</v>
      </c>
      <c r="H2" s="829"/>
    </row>
    <row r="3" spans="1:23" ht="23.5">
      <c r="A3" s="68" t="str">
        <f>"For The Year Ended " &amp;TEXT('A1. Identification'!D8,"mmmm d, yyyy")</f>
        <v>For The Year Ended January 0, 1900</v>
      </c>
      <c r="H3" s="829"/>
    </row>
    <row r="4" spans="1:23" ht="15" thickBot="1"/>
    <row r="5" spans="1:23" ht="15" thickBot="1">
      <c r="A5" s="830"/>
      <c r="B5" s="831"/>
      <c r="C5" s="832"/>
      <c r="D5" s="832"/>
      <c r="E5" s="832"/>
      <c r="F5" s="833"/>
      <c r="G5" s="833"/>
      <c r="H5" s="833"/>
      <c r="I5" s="833"/>
      <c r="J5" s="833"/>
      <c r="K5" s="833"/>
      <c r="L5" s="833"/>
      <c r="M5" s="833"/>
      <c r="N5" s="833"/>
      <c r="O5" s="70"/>
      <c r="P5" s="833"/>
      <c r="Q5" s="834"/>
    </row>
    <row r="6" spans="1:23" ht="37.5">
      <c r="A6" s="835" t="s">
        <v>251</v>
      </c>
      <c r="B6" s="833"/>
      <c r="C6" s="450" t="s">
        <v>252</v>
      </c>
      <c r="D6" s="833"/>
      <c r="E6" s="450" t="s">
        <v>253</v>
      </c>
      <c r="F6" s="836"/>
      <c r="G6" s="1141" t="s">
        <v>254</v>
      </c>
      <c r="H6" s="1141"/>
      <c r="I6" s="1141"/>
      <c r="J6" s="1141"/>
      <c r="K6" s="836"/>
      <c r="L6" s="450" t="s">
        <v>255</v>
      </c>
      <c r="M6" s="836"/>
      <c r="N6" s="450" t="s">
        <v>256</v>
      </c>
      <c r="O6" s="70"/>
      <c r="P6" s="836"/>
      <c r="Q6" s="451" t="s">
        <v>257</v>
      </c>
    </row>
    <row r="7" spans="1:23" customFormat="1">
      <c r="A7" s="837" t="s">
        <v>258</v>
      </c>
      <c r="B7" s="838" t="s">
        <v>259</v>
      </c>
      <c r="C7" s="839">
        <f>IFERROR('A5. Financial Position'!D12/'A5. Financial Position'!D32,0)</f>
        <v>0</v>
      </c>
      <c r="D7" s="840"/>
      <c r="E7" s="841" t="s">
        <v>260</v>
      </c>
      <c r="F7" s="840"/>
      <c r="G7" s="841" t="s">
        <v>261</v>
      </c>
      <c r="H7" s="1142" t="s">
        <v>262</v>
      </c>
      <c r="I7" s="1142"/>
      <c r="J7" s="841" t="s">
        <v>263</v>
      </c>
      <c r="K7" s="840"/>
      <c r="L7" s="842">
        <f>IF(C7="","",IF(AND(C7&gt;=0.25,C7&lt;1),50,IF(C7&gt;=1,100,IF(C7&lt;0.25,0))))</f>
        <v>0</v>
      </c>
      <c r="M7" s="840"/>
      <c r="N7" s="71">
        <v>0.3</v>
      </c>
      <c r="O7" s="452"/>
      <c r="P7" s="840"/>
      <c r="Q7" s="843">
        <f>L7*N7</f>
        <v>0</v>
      </c>
      <c r="R7" s="840"/>
    </row>
    <row r="8" spans="1:23" customFormat="1" ht="26">
      <c r="A8" s="837" t="s">
        <v>264</v>
      </c>
      <c r="B8" s="844" t="s">
        <v>265</v>
      </c>
      <c r="C8" s="845" t="e">
        <f>('A5. Financial Position'!D7+'A5. Financial Position'!D8+'A5. Financial Position'!D9)/(('A6. Operations'!D123-'A6. Operations'!D82-'A6. Operations'!D83)*1/12)</f>
        <v>#DIV/0!</v>
      </c>
      <c r="D8" s="840"/>
      <c r="E8" s="846" t="s">
        <v>266</v>
      </c>
      <c r="F8" s="840"/>
      <c r="G8" s="841" t="s">
        <v>267</v>
      </c>
      <c r="H8" s="1142" t="s">
        <v>268</v>
      </c>
      <c r="I8" s="1142"/>
      <c r="J8" s="841" t="s">
        <v>269</v>
      </c>
      <c r="K8" s="847"/>
      <c r="L8" s="848" t="e">
        <f>IF(C8="","",IF(AND(C8&gt;=1,C8&lt;3),50,IF(C8&gt;=3,100,IF(C8&lt;1,0))))</f>
        <v>#DIV/0!</v>
      </c>
      <c r="M8" s="840"/>
      <c r="N8" s="71">
        <v>0.1</v>
      </c>
      <c r="O8" s="452"/>
      <c r="P8" s="840"/>
      <c r="Q8" s="843" t="e">
        <f>L8*N8</f>
        <v>#DIV/0!</v>
      </c>
      <c r="R8" s="840"/>
      <c r="T8" s="849"/>
      <c r="U8" s="849"/>
    </row>
    <row r="9" spans="1:23" customFormat="1" ht="23.15" customHeight="1">
      <c r="A9" s="850" t="s">
        <v>270</v>
      </c>
      <c r="B9" s="847"/>
      <c r="C9" s="847"/>
      <c r="D9" s="847"/>
      <c r="F9" s="847"/>
      <c r="G9" s="310"/>
      <c r="H9" s="310"/>
      <c r="I9" s="847"/>
      <c r="J9" s="310"/>
      <c r="K9" s="847"/>
      <c r="L9" s="851"/>
      <c r="M9" s="852"/>
      <c r="N9" s="851"/>
      <c r="O9" s="452"/>
      <c r="P9" s="852"/>
      <c r="Q9" s="853"/>
      <c r="R9" s="310"/>
      <c r="U9" s="854"/>
      <c r="V9" s="855"/>
      <c r="W9" s="856"/>
    </row>
    <row r="10" spans="1:23" customFormat="1">
      <c r="A10" s="837" t="s">
        <v>271</v>
      </c>
      <c r="B10" s="838" t="s">
        <v>272</v>
      </c>
      <c r="C10" s="839" t="e">
        <f>'A5. Financial Position'!D40/'A5. Financial Position'!D20</f>
        <v>#DIV/0!</v>
      </c>
      <c r="D10" s="840"/>
      <c r="E10" s="857" t="s">
        <v>273</v>
      </c>
      <c r="F10" s="840"/>
      <c r="G10" s="858" t="s">
        <v>274</v>
      </c>
      <c r="H10" s="1143" t="s">
        <v>275</v>
      </c>
      <c r="I10" s="1143"/>
      <c r="J10" s="857" t="s">
        <v>276</v>
      </c>
      <c r="K10" s="847"/>
      <c r="L10" s="859" t="e">
        <f>IF(C10="","",IF(AND(C10&gt;0.4,C10&lt;0.6),50,IF(C10&gt;=0.6,0,IF(C10&lt;=0.4,100))))</f>
        <v>#DIV/0!</v>
      </c>
      <c r="M10" s="840"/>
      <c r="N10" s="71">
        <v>0.3</v>
      </c>
      <c r="O10" s="452"/>
      <c r="P10" s="840"/>
      <c r="Q10" s="843" t="e">
        <f>L10*N10</f>
        <v>#DIV/0!</v>
      </c>
      <c r="R10" s="840"/>
      <c r="V10" s="855"/>
      <c r="W10" s="856"/>
    </row>
    <row r="11" spans="1:23" customFormat="1" ht="23.15" customHeight="1">
      <c r="A11" s="850" t="s">
        <v>277</v>
      </c>
      <c r="B11" s="860"/>
      <c r="C11" s="840"/>
      <c r="D11" s="840"/>
      <c r="E11" s="840"/>
      <c r="F11" s="840"/>
      <c r="G11" s="840"/>
      <c r="H11" s="861"/>
      <c r="I11" s="861"/>
      <c r="J11" s="840"/>
      <c r="K11" s="840"/>
      <c r="L11" s="862"/>
      <c r="M11" s="840"/>
      <c r="N11" s="862"/>
      <c r="O11" s="452"/>
      <c r="P11" s="840"/>
      <c r="Q11" s="863"/>
      <c r="R11" s="840"/>
      <c r="V11" s="855"/>
      <c r="W11" s="856"/>
    </row>
    <row r="12" spans="1:23" customFormat="1">
      <c r="A12" s="837" t="s">
        <v>278</v>
      </c>
      <c r="B12" s="838" t="s">
        <v>279</v>
      </c>
      <c r="C12" s="72" t="e">
        <f>('A5. Financial Position'!D55/'A6. Operations'!D30)</f>
        <v>#DIV/0!</v>
      </c>
      <c r="D12" s="840"/>
      <c r="E12" s="858" t="s">
        <v>280</v>
      </c>
      <c r="F12" s="840"/>
      <c r="G12" s="858" t="s">
        <v>281</v>
      </c>
      <c r="H12" s="1144" t="s">
        <v>282</v>
      </c>
      <c r="I12" s="1144"/>
      <c r="J12" s="858" t="s">
        <v>283</v>
      </c>
      <c r="K12" s="840"/>
      <c r="L12" s="859" t="e">
        <f>IF(C12="","",IF(AND(C12&gt;=0,C12&lt;6%),75,IF(C12&gt;=6%,100,IF(C12&lt;0,0))))</f>
        <v>#DIV/0!</v>
      </c>
      <c r="M12" s="840"/>
      <c r="N12" s="71">
        <v>0.3</v>
      </c>
      <c r="O12" s="452"/>
      <c r="P12" s="840"/>
      <c r="Q12" s="843" t="e">
        <f>L12*N12</f>
        <v>#DIV/0!</v>
      </c>
      <c r="R12" s="840"/>
      <c r="V12" s="855"/>
      <c r="W12" s="856"/>
    </row>
    <row r="13" spans="1:23" customFormat="1">
      <c r="A13" s="837"/>
      <c r="B13" s="864"/>
      <c r="C13" s="79"/>
      <c r="D13" s="840"/>
      <c r="E13" s="847"/>
      <c r="F13" s="840"/>
      <c r="G13" s="847"/>
      <c r="H13" s="847"/>
      <c r="I13" s="847"/>
      <c r="J13" s="847"/>
      <c r="K13" s="840"/>
      <c r="L13" s="865"/>
      <c r="M13" s="840"/>
      <c r="N13" s="80"/>
      <c r="O13" s="452"/>
      <c r="P13" s="840"/>
      <c r="Q13" s="863"/>
      <c r="R13" s="840"/>
      <c r="V13" s="855"/>
      <c r="W13" s="856"/>
    </row>
    <row r="14" spans="1:23" customFormat="1">
      <c r="A14" s="76"/>
      <c r="B14" s="864"/>
      <c r="C14" s="840"/>
      <c r="D14" s="840"/>
      <c r="E14" s="847"/>
      <c r="F14" s="840"/>
      <c r="G14" s="847"/>
      <c r="H14" s="847"/>
      <c r="I14" s="847"/>
      <c r="J14" s="847"/>
      <c r="K14" s="840"/>
      <c r="L14" s="865"/>
      <c r="M14" s="840"/>
      <c r="N14" s="73"/>
      <c r="O14" s="453"/>
      <c r="P14" s="840"/>
      <c r="Q14" s="863"/>
      <c r="R14" s="840"/>
      <c r="V14" s="855"/>
      <c r="W14" s="856"/>
    </row>
    <row r="15" spans="1:23" ht="15.5">
      <c r="A15" s="283"/>
      <c r="B15" s="866"/>
      <c r="C15" s="867"/>
      <c r="D15" s="867"/>
      <c r="E15" s="867"/>
      <c r="F15" s="867"/>
      <c r="G15" s="867"/>
      <c r="H15" s="867"/>
      <c r="I15" s="867"/>
      <c r="J15" s="867"/>
      <c r="K15" s="867"/>
      <c r="L15" s="867"/>
      <c r="M15" s="867"/>
      <c r="N15" s="868" t="s">
        <v>284</v>
      </c>
      <c r="O15" s="74"/>
      <c r="P15" s="867"/>
      <c r="Q15" s="869" t="e">
        <f>Q7+Q8+Q10+Q12</f>
        <v>#DIV/0!</v>
      </c>
      <c r="R15" s="867"/>
    </row>
    <row r="16" spans="1:23" ht="15" thickBot="1">
      <c r="A16" s="870"/>
      <c r="B16" s="871"/>
      <c r="C16" s="872"/>
      <c r="D16" s="872"/>
      <c r="E16" s="872"/>
      <c r="F16" s="872"/>
      <c r="G16" s="872"/>
      <c r="H16" s="872"/>
      <c r="I16" s="872"/>
      <c r="J16" s="872"/>
      <c r="K16" s="872"/>
      <c r="L16" s="872"/>
      <c r="M16" s="872"/>
      <c r="N16" s="872"/>
      <c r="O16" s="454"/>
      <c r="P16" s="872"/>
      <c r="Q16" s="873" t="e">
        <f>IF(Q15="","",IF(AND(Q15&gt;84,Q15&lt;=100),"Excellent",IF(AND(Q15&gt;69,Q15&lt;=84),"Good",IF(AND(Q15&gt;49,Q15&lt;=69),"Fair",IF(AND(Q15&gt;24,Q15&lt;=49),"Poor",IF(AND(Q15&gt;=0,Q15&lt;=24),"Very Poor",""))))))</f>
        <v>#DIV/0!</v>
      </c>
      <c r="R16" s="867"/>
    </row>
    <row r="17" spans="1:18" ht="23.5" thickBot="1">
      <c r="A17" s="874" t="s">
        <v>287</v>
      </c>
      <c r="B17" s="875"/>
      <c r="C17" s="876"/>
      <c r="D17" s="876"/>
      <c r="E17" s="876"/>
      <c r="F17" s="876"/>
      <c r="G17" s="876"/>
      <c r="H17" s="876"/>
      <c r="I17" s="876"/>
      <c r="J17" s="876"/>
      <c r="K17" s="876"/>
      <c r="L17" s="876"/>
      <c r="M17" s="876"/>
      <c r="N17" s="876"/>
      <c r="O17" s="449"/>
      <c r="P17" s="876"/>
      <c r="Q17" s="877"/>
      <c r="R17" s="867"/>
    </row>
    <row r="18" spans="1:18" ht="15" thickBot="1">
      <c r="A18" s="837" t="s">
        <v>856</v>
      </c>
      <c r="D18" s="867"/>
      <c r="E18" s="867"/>
      <c r="F18" s="867"/>
      <c r="G18" s="867"/>
      <c r="H18" s="867"/>
      <c r="I18" s="867"/>
      <c r="J18" s="878" t="s">
        <v>857</v>
      </c>
      <c r="K18" s="867"/>
      <c r="L18" s="867"/>
      <c r="M18" s="867"/>
      <c r="N18" s="867"/>
      <c r="O18" s="74"/>
      <c r="P18" s="867"/>
      <c r="Q18" s="879" t="e">
        <f>'A6. Operations'!D80/'A6. Operations'!D123</f>
        <v>#DIV/0!</v>
      </c>
      <c r="R18" s="867"/>
    </row>
    <row r="19" spans="1:18" ht="15" thickBot="1">
      <c r="A19" s="870"/>
      <c r="B19" s="880"/>
      <c r="C19" s="880"/>
      <c r="D19" s="880"/>
      <c r="E19" s="880"/>
      <c r="F19" s="880"/>
      <c r="G19" s="880"/>
      <c r="H19" s="880"/>
      <c r="I19" s="880"/>
      <c r="J19" s="880"/>
      <c r="K19" s="880"/>
      <c r="L19" s="880"/>
      <c r="M19" s="880"/>
      <c r="N19" s="880"/>
      <c r="O19" s="75"/>
      <c r="P19" s="880"/>
      <c r="Q19" s="881"/>
    </row>
  </sheetData>
  <sheetProtection algorithmName="SHA-512" hashValue="iWCt7OB74KAJmKkOTKjWQ+BrGxsADIGJKB81LoLhzk8hZ6zxuLFEeBtwEsbGuXEINYujzKUn5p+rHTCO7mjZGQ==" saltValue="0mOHSfmMBgSLglZx3970lA==" spinCount="100000" sheet="1" objects="1" scenarios="1"/>
  <protectedRanges>
    <protectedRange sqref="J11 Q8 G11:H11 P7:R7 N8 C7:N7 K10:N11 I10:I11 G12:N14 C10:D14 F10:F14 W9:W14 P10:R14 E11:E14" name="allow"/>
  </protectedRanges>
  <mergeCells count="5">
    <mergeCell ref="G6:J6"/>
    <mergeCell ref="H7:I7"/>
    <mergeCell ref="H8:I8"/>
    <mergeCell ref="H10:I10"/>
    <mergeCell ref="H12:I12"/>
  </mergeCells>
  <conditionalFormatting sqref="Q15">
    <cfRule type="cellIs" dxfId="4" priority="1" operator="between">
      <formula>0</formula>
      <formula>24</formula>
    </cfRule>
    <cfRule type="cellIs" dxfId="3" priority="2" operator="between">
      <formula>25</formula>
      <formula>49</formula>
    </cfRule>
    <cfRule type="cellIs" dxfId="2" priority="3" operator="between">
      <formula>50</formula>
      <formula>69</formula>
    </cfRule>
    <cfRule type="cellIs" dxfId="1" priority="4" operator="between">
      <formula>70</formula>
      <formula>84</formula>
    </cfRule>
    <cfRule type="cellIs" dxfId="0" priority="5" operator="between">
      <formula>85</formula>
      <formula>100</formula>
    </cfRule>
  </conditionalFormatting>
  <pageMargins left="0.7" right="0.7" top="0.75" bottom="0.75" header="0.3" footer="0.3"/>
  <pageSetup scale="5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9E5F1-1EA7-4440-B707-D9C465AD22AD}">
  <sheetPr>
    <tabColor rgb="FFFF0000"/>
  </sheetPr>
  <dimension ref="A1:BT2"/>
  <sheetViews>
    <sheetView workbookViewId="0">
      <selection activeCell="A4" sqref="A4"/>
    </sheetView>
  </sheetViews>
  <sheetFormatPr defaultColWidth="9.1796875" defaultRowHeight="14.5"/>
  <cols>
    <col min="1" max="1" width="11" customWidth="1"/>
    <col min="2" max="2" width="16.81640625" customWidth="1"/>
    <col min="3" max="3" width="16.6328125" customWidth="1"/>
    <col min="4" max="4" width="20.81640625" customWidth="1"/>
    <col min="5" max="5" width="18.54296875" customWidth="1"/>
    <col min="6" max="6" width="11.81640625" customWidth="1"/>
    <col min="7" max="7" width="12.6328125" customWidth="1"/>
    <col min="8" max="8" width="19.6328125" customWidth="1"/>
    <col min="9" max="9" width="27.6328125" customWidth="1"/>
    <col min="10" max="10" width="14.453125" customWidth="1"/>
    <col min="11" max="11" width="14.54296875" customWidth="1"/>
    <col min="12" max="12" width="18.26953125" customWidth="1"/>
    <col min="13" max="14" width="20" customWidth="1"/>
    <col min="15" max="15" width="21.54296875" customWidth="1"/>
    <col min="16" max="16" width="16.6328125" customWidth="1"/>
    <col min="17" max="17" width="14.26953125" customWidth="1"/>
    <col min="18" max="18" width="16.1796875" bestFit="1" customWidth="1"/>
    <col min="19" max="19" width="13.26953125" bestFit="1" customWidth="1"/>
    <col min="20" max="20" width="14.1796875" bestFit="1" customWidth="1"/>
    <col min="21" max="21" width="15" bestFit="1" customWidth="1"/>
    <col min="22" max="22" width="13.6328125" bestFit="1" customWidth="1"/>
    <col min="23" max="23" width="13.1796875" bestFit="1" customWidth="1"/>
    <col min="24" max="24" width="15.1796875" bestFit="1" customWidth="1"/>
    <col min="25" max="25" width="14.81640625" bestFit="1" customWidth="1"/>
    <col min="26" max="26" width="14.26953125" bestFit="1" customWidth="1"/>
    <col min="27" max="27" width="12.81640625" customWidth="1"/>
    <col min="28" max="28" width="12" customWidth="1"/>
    <col min="29" max="29" width="11.81640625" customWidth="1"/>
    <col min="30" max="30" width="13.453125" customWidth="1"/>
    <col min="31" max="31" width="12" customWidth="1"/>
    <col min="32" max="32" width="17.26953125" customWidth="1"/>
    <col min="33" max="33" width="10.54296875" customWidth="1"/>
    <col min="34" max="34" width="9.453125" customWidth="1"/>
    <col min="35" max="35" width="13.26953125" customWidth="1"/>
    <col min="36" max="36" width="11.6328125" customWidth="1"/>
    <col min="37" max="37" width="13" customWidth="1"/>
    <col min="38" max="38" width="17.1796875" customWidth="1"/>
    <col min="39" max="39" width="15.6328125" customWidth="1"/>
    <col min="41" max="41" width="11.6328125" customWidth="1"/>
    <col min="42" max="42" width="12.81640625" customWidth="1"/>
    <col min="43" max="43" width="11.6328125" customWidth="1"/>
    <col min="44" max="44" width="13.81640625" bestFit="1" customWidth="1"/>
    <col min="45" max="45" width="12.453125" bestFit="1" customWidth="1"/>
    <col min="46" max="46" width="12" customWidth="1"/>
    <col min="47" max="47" width="12.453125" customWidth="1"/>
    <col min="48" max="48" width="14" customWidth="1"/>
    <col min="49" max="49" width="17.6328125" customWidth="1"/>
    <col min="50" max="50" width="15.1796875" bestFit="1" customWidth="1"/>
    <col min="51" max="51" width="15" bestFit="1" customWidth="1"/>
    <col min="52" max="52" width="10.1796875" bestFit="1" customWidth="1"/>
    <col min="53" max="53" width="11.26953125" customWidth="1"/>
    <col min="54" max="54" width="13.1796875" customWidth="1"/>
    <col min="55" max="60" width="14" customWidth="1"/>
    <col min="61" max="61" width="18.26953125" customWidth="1"/>
    <col min="62" max="62" width="14" customWidth="1"/>
    <col min="63" max="63" width="15" customWidth="1"/>
    <col min="64" max="64" width="14" customWidth="1"/>
    <col min="65" max="65" width="15.6328125" customWidth="1"/>
    <col min="66" max="67" width="14" customWidth="1"/>
    <col min="68" max="68" width="19" bestFit="1" customWidth="1"/>
    <col min="69" max="69" width="19.26953125" bestFit="1" customWidth="1"/>
    <col min="70" max="70" width="16.26953125" customWidth="1"/>
    <col min="71" max="71" width="19.1796875" customWidth="1"/>
    <col min="72" max="72" width="15.453125" customWidth="1"/>
  </cols>
  <sheetData>
    <row r="1" spans="1:72">
      <c r="A1" s="882" t="s">
        <v>688</v>
      </c>
      <c r="B1" s="882" t="s">
        <v>689</v>
      </c>
      <c r="C1" s="882" t="s">
        <v>690</v>
      </c>
      <c r="D1" s="882" t="s">
        <v>691</v>
      </c>
      <c r="E1" s="882" t="s">
        <v>692</v>
      </c>
      <c r="F1" s="882" t="s">
        <v>693</v>
      </c>
      <c r="G1" s="882" t="s">
        <v>694</v>
      </c>
      <c r="H1" s="882" t="s">
        <v>695</v>
      </c>
      <c r="I1" s="882" t="s">
        <v>696</v>
      </c>
      <c r="J1" s="882" t="s">
        <v>697</v>
      </c>
      <c r="K1" s="882" t="s">
        <v>698</v>
      </c>
      <c r="L1" s="883" t="s">
        <v>699</v>
      </c>
      <c r="M1" s="884" t="s">
        <v>748</v>
      </c>
      <c r="N1" s="884" t="s">
        <v>749</v>
      </c>
      <c r="O1" s="884" t="s">
        <v>750</v>
      </c>
      <c r="P1" s="884" t="s">
        <v>751</v>
      </c>
      <c r="Q1" s="884" t="s">
        <v>752</v>
      </c>
      <c r="R1" s="884" t="s">
        <v>753</v>
      </c>
      <c r="S1" s="884" t="s">
        <v>754</v>
      </c>
      <c r="T1" s="884" t="s">
        <v>755</v>
      </c>
      <c r="U1" s="884" t="s">
        <v>756</v>
      </c>
      <c r="V1" s="884" t="s">
        <v>757</v>
      </c>
      <c r="W1" s="884" t="s">
        <v>758</v>
      </c>
      <c r="X1" s="884" t="s">
        <v>759</v>
      </c>
      <c r="Y1" s="884" t="s">
        <v>700</v>
      </c>
      <c r="Z1" s="884" t="s">
        <v>701</v>
      </c>
      <c r="AA1" s="884" t="s">
        <v>760</v>
      </c>
      <c r="AB1" s="884" t="s">
        <v>761</v>
      </c>
      <c r="AC1" s="884" t="s">
        <v>762</v>
      </c>
      <c r="AD1" s="884" t="s">
        <v>763</v>
      </c>
      <c r="AE1" s="884" t="s">
        <v>764</v>
      </c>
      <c r="AF1" s="884" t="s">
        <v>765</v>
      </c>
      <c r="AG1" s="884" t="s">
        <v>766</v>
      </c>
      <c r="AH1" s="884" t="s">
        <v>767</v>
      </c>
      <c r="AI1" s="884" t="s">
        <v>768</v>
      </c>
      <c r="AJ1" s="884" t="s">
        <v>769</v>
      </c>
      <c r="AK1" s="884" t="s">
        <v>770</v>
      </c>
      <c r="AL1" s="884" t="s">
        <v>771</v>
      </c>
      <c r="AM1" s="884" t="s">
        <v>772</v>
      </c>
      <c r="AN1" s="884" t="s">
        <v>773</v>
      </c>
      <c r="AO1" s="884" t="s">
        <v>774</v>
      </c>
      <c r="AP1" s="884" t="s">
        <v>775</v>
      </c>
      <c r="AQ1" s="884" t="s">
        <v>776</v>
      </c>
      <c r="AR1" s="884" t="s">
        <v>702</v>
      </c>
      <c r="AS1" s="884" t="s">
        <v>703</v>
      </c>
      <c r="AT1" s="884" t="s">
        <v>704</v>
      </c>
      <c r="AU1" s="884" t="s">
        <v>705</v>
      </c>
      <c r="AV1" s="884" t="s">
        <v>706</v>
      </c>
      <c r="AW1" s="884" t="s">
        <v>707</v>
      </c>
      <c r="AX1" s="884" t="s">
        <v>708</v>
      </c>
      <c r="AY1" s="884" t="s">
        <v>709</v>
      </c>
      <c r="AZ1" s="884" t="s">
        <v>710</v>
      </c>
      <c r="BA1" s="884" t="s">
        <v>711</v>
      </c>
      <c r="BB1" s="884" t="s">
        <v>712</v>
      </c>
      <c r="BC1" s="885" t="s">
        <v>713</v>
      </c>
      <c r="BD1" s="885" t="s">
        <v>714</v>
      </c>
      <c r="BE1" s="885" t="s">
        <v>715</v>
      </c>
      <c r="BF1" s="885" t="s">
        <v>716</v>
      </c>
      <c r="BG1" s="885" t="s">
        <v>717</v>
      </c>
      <c r="BH1" s="885" t="s">
        <v>718</v>
      </c>
      <c r="BI1" s="885" t="s">
        <v>719</v>
      </c>
      <c r="BJ1" s="885" t="s">
        <v>720</v>
      </c>
      <c r="BK1" s="885" t="s">
        <v>721</v>
      </c>
      <c r="BL1" s="885" t="s">
        <v>722</v>
      </c>
      <c r="BM1" s="885" t="s">
        <v>723</v>
      </c>
      <c r="BN1" s="885" t="s">
        <v>724</v>
      </c>
      <c r="BO1" s="885" t="s">
        <v>725</v>
      </c>
      <c r="BP1" s="885" t="s">
        <v>726</v>
      </c>
      <c r="BQ1" s="885" t="s">
        <v>727</v>
      </c>
      <c r="BR1" s="885" t="s">
        <v>777</v>
      </c>
      <c r="BS1" s="885" t="s">
        <v>728</v>
      </c>
      <c r="BT1" s="885" t="s">
        <v>878</v>
      </c>
    </row>
    <row r="2" spans="1:72" ht="15.5">
      <c r="A2" s="851">
        <f>'A11.Licensee''s SFR&amp; Attestation'!F13</f>
        <v>232</v>
      </c>
      <c r="B2" s="851">
        <f>'A11.Licensee''s SFR&amp; Attestation'!F8</f>
        <v>0</v>
      </c>
      <c r="C2">
        <f>'A11.Licensee''s SFR&amp; Attestation'!F9</f>
        <v>0</v>
      </c>
      <c r="D2" s="886">
        <f>'A11.Licensee''s SFR&amp; Attestation'!F10</f>
        <v>0</v>
      </c>
      <c r="E2" s="887">
        <f>'A11.Licensee''s SFR&amp; Attestation'!F11</f>
        <v>0</v>
      </c>
      <c r="F2">
        <f>'A11.Licensee''s SFR&amp; Attestation'!F14</f>
        <v>2025</v>
      </c>
      <c r="G2">
        <f>'A11.Licensee''s SFR&amp; Attestation'!C82</f>
        <v>0</v>
      </c>
      <c r="H2" s="886">
        <f>'A11.Licensee''s SFR&amp; Attestation'!F82</f>
        <v>0</v>
      </c>
      <c r="I2">
        <f>'A11.Licensee''s SFR&amp; Attestation'!I82</f>
        <v>0</v>
      </c>
      <c r="J2">
        <f>'A11.Licensee''s SFR&amp; Attestation'!C88</f>
        <v>0</v>
      </c>
      <c r="K2" s="887">
        <f>'A11.Licensee''s SFR&amp; Attestation'!F96</f>
        <v>0</v>
      </c>
      <c r="L2" s="888">
        <f>'A11.Licensee''s SFR&amp; Attestation'!F18</f>
        <v>0</v>
      </c>
      <c r="M2" s="888">
        <f>'A11.Licensee''s SFR&amp; Attestation'!F21</f>
        <v>0</v>
      </c>
      <c r="N2" s="888">
        <f>'A11.Licensee''s SFR&amp; Attestation'!F22</f>
        <v>0</v>
      </c>
      <c r="O2" s="888">
        <f>'A11.Licensee''s SFR&amp; Attestation'!F23</f>
        <v>0</v>
      </c>
      <c r="P2" s="888">
        <f>'A11.Licensee''s SFR&amp; Attestation'!F24</f>
        <v>0</v>
      </c>
      <c r="Q2" s="888">
        <f>'A11.Licensee''s SFR&amp; Attestation'!F25</f>
        <v>0</v>
      </c>
      <c r="R2" s="888">
        <f>'A11.Licensee''s SFR&amp; Attestation'!F26</f>
        <v>0</v>
      </c>
      <c r="S2" s="888">
        <f>'A11.Licensee''s SFR&amp; Attestation'!I21</f>
        <v>0</v>
      </c>
      <c r="T2" s="888">
        <f>'A11.Licensee''s SFR&amp; Attestation'!I22</f>
        <v>0</v>
      </c>
      <c r="U2" s="888">
        <f>'A11.Licensee''s SFR&amp; Attestation'!I23</f>
        <v>0</v>
      </c>
      <c r="V2" s="888">
        <f>'A11.Licensee''s SFR&amp; Attestation'!I24</f>
        <v>0</v>
      </c>
      <c r="W2" s="888">
        <f>'A11.Licensee''s SFR&amp; Attestation'!I25</f>
        <v>0</v>
      </c>
      <c r="X2" s="888">
        <f>'A11.Licensee''s SFR&amp; Attestation'!I26</f>
        <v>0</v>
      </c>
      <c r="Y2" s="889">
        <f>'A11.Licensee''s SFR&amp; Attestation'!F32</f>
        <v>0</v>
      </c>
      <c r="Z2" s="889">
        <f>'A11.Licensee''s SFR&amp; Attestation'!F33</f>
        <v>0</v>
      </c>
      <c r="AA2" s="889">
        <f>'A11.Licensee''s SFR&amp; Attestation'!F40</f>
        <v>0</v>
      </c>
      <c r="AB2" s="890">
        <f>'A11.Licensee''s SFR&amp; Attestation'!F41</f>
        <v>0</v>
      </c>
      <c r="AC2" s="890">
        <f>'A11.Licensee''s SFR&amp; Attestation'!F42</f>
        <v>0</v>
      </c>
      <c r="AD2" s="890">
        <f>'A11.Licensee''s SFR&amp; Attestation'!F43</f>
        <v>0</v>
      </c>
      <c r="AE2" s="890">
        <f>'A11.Licensee''s SFR&amp; Attestation'!F44</f>
        <v>0</v>
      </c>
      <c r="AF2" s="288">
        <f>'A11.Licensee''s SFR&amp; Attestation'!F45</f>
        <v>0</v>
      </c>
      <c r="AG2" s="890">
        <f>'A11.Licensee''s SFR&amp; Attestation'!F48</f>
        <v>0</v>
      </c>
      <c r="AH2" s="890">
        <f>'A11.Licensee''s SFR&amp; Attestation'!F49</f>
        <v>0</v>
      </c>
      <c r="AI2" s="890">
        <f>'A11.Licensee''s SFR&amp; Attestation'!F50</f>
        <v>0</v>
      </c>
      <c r="AJ2" s="890">
        <f>'A11.Licensee''s SFR&amp; Attestation'!F51</f>
        <v>0</v>
      </c>
      <c r="AK2" s="890">
        <f>'A11.Licensee''s SFR&amp; Attestation'!F52</f>
        <v>0</v>
      </c>
      <c r="AL2" s="288">
        <f>'A11.Licensee''s SFR&amp; Attestation'!F53</f>
        <v>0</v>
      </c>
      <c r="AM2" s="890">
        <f>'A11.Licensee''s SFR&amp; Attestation'!F56</f>
        <v>0</v>
      </c>
      <c r="AN2" s="890">
        <f>'A11.Licensee''s SFR&amp; Attestation'!F57</f>
        <v>0</v>
      </c>
      <c r="AO2" s="890">
        <f>'A11.Licensee''s SFR&amp; Attestation'!F58</f>
        <v>0</v>
      </c>
      <c r="AP2" s="890">
        <f>'A11.Licensee''s SFR&amp; Attestation'!F59</f>
        <v>0</v>
      </c>
      <c r="AQ2" s="890">
        <f>'A11.Licensee''s SFR&amp; Attestation'!F60</f>
        <v>0</v>
      </c>
      <c r="AR2" s="890">
        <f>'A11.Licensee''s SFR&amp; Attestation'!F63</f>
        <v>0</v>
      </c>
      <c r="AS2" s="890">
        <f>'A11.Licensee''s SFR&amp; Attestation'!F64</f>
        <v>0</v>
      </c>
      <c r="AT2" s="890">
        <f>'A11.Licensee''s SFR&amp; Attestation'!F65</f>
        <v>0</v>
      </c>
      <c r="AU2" s="890">
        <f>'A11.Licensee''s SFR&amp; Attestation'!F66</f>
        <v>0</v>
      </c>
      <c r="AV2" s="890">
        <f>'A11.Licensee''s SFR&amp; Attestation'!F67</f>
        <v>0</v>
      </c>
      <c r="AW2" s="890">
        <f>'A11.Licensee''s SFR&amp; Attestation'!F68</f>
        <v>0</v>
      </c>
      <c r="AX2" s="890">
        <f>'A11.Licensee''s SFR&amp; Attestation'!F69</f>
        <v>0</v>
      </c>
      <c r="AY2" s="890">
        <f>'A11.Licensee''s SFR&amp; Attestation'!F70</f>
        <v>0</v>
      </c>
      <c r="AZ2" s="890">
        <f>'A11.Licensee''s SFR&amp; Attestation'!F71</f>
        <v>0</v>
      </c>
      <c r="BA2" s="890">
        <f>'A11.Licensee''s SFR&amp; Attestation'!F75</f>
        <v>0</v>
      </c>
      <c r="BB2" s="890">
        <f>'A11.Licensee''s SFR&amp; Attestation'!F79</f>
        <v>0</v>
      </c>
      <c r="BC2" s="890">
        <f>'A12. YND Reconciliation'!E15</f>
        <v>0</v>
      </c>
      <c r="BD2" s="890">
        <f>'A12. YND Reconciliation'!E16</f>
        <v>0</v>
      </c>
      <c r="BE2" s="890">
        <f>BenchmarkAllocation</f>
        <v>0</v>
      </c>
      <c r="BF2" s="890">
        <f>'A12. YND Reconciliation'!E21</f>
        <v>0</v>
      </c>
      <c r="BG2" s="890">
        <f>'A12. YND Reconciliation'!E22</f>
        <v>0</v>
      </c>
      <c r="BH2" s="890">
        <f>'A12. YND Reconciliation'!E24</f>
        <v>0</v>
      </c>
      <c r="BI2" s="890">
        <f>+'A12. YND Reconciliation'!E25</f>
        <v>0</v>
      </c>
      <c r="BJ2" s="890">
        <f>'A12. YND Reconciliation'!E27</f>
        <v>0</v>
      </c>
      <c r="BK2" s="890">
        <f>ActualProgramCosts</f>
        <v>0</v>
      </c>
      <c r="BL2" s="890">
        <f>'A12. YND Reconciliation'!E40</f>
        <v>0</v>
      </c>
      <c r="BM2" s="890">
        <f>+'A12. YND Reconciliation'!E47</f>
        <v>0</v>
      </c>
      <c r="BN2" s="890">
        <f>'A12. YND Reconciliation'!E54</f>
        <v>0</v>
      </c>
      <c r="BO2" s="890">
        <f>'A12. YND Reconciliation'!E65</f>
        <v>0</v>
      </c>
      <c r="BP2" s="890">
        <f>'A12. YND Reconciliation'!E60</f>
        <v>0</v>
      </c>
      <c r="BQ2" s="890">
        <f>'A12. YND Reconciliation'!E67</f>
        <v>0</v>
      </c>
      <c r="BR2" s="891" t="e">
        <f>'A12. YND Reconciliation'!E77</f>
        <v>#DIV/0!</v>
      </c>
      <c r="BS2" s="892">
        <f>'A12. YND Reconciliation'!E79</f>
        <v>0</v>
      </c>
      <c r="BT2" s="57">
        <f>'A3. Peel Region Grants'!D74</f>
        <v>0</v>
      </c>
    </row>
  </sheetData>
  <sheetProtection algorithmName="SHA-512" hashValue="BdN4R94buaA8GBNpvA9XRmC24/gKI5lnXrNMH55du6bzm2e7J8a1zsiaHNPlWdba3eodY1VQO1ZWf2DAuklcMQ==" saltValue="wQS/wa/cuMKI/3pFhHz4X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3C607-A496-434A-9B8C-6C31AA9F2D95}">
  <sheetPr>
    <tabColor theme="9" tint="0.59999389629810485"/>
  </sheetPr>
  <dimension ref="B1:Y64"/>
  <sheetViews>
    <sheetView showGridLines="0" zoomScaleNormal="100" workbookViewId="0">
      <selection activeCell="E10" sqref="E10"/>
    </sheetView>
  </sheetViews>
  <sheetFormatPr defaultColWidth="8.81640625" defaultRowHeight="15.5"/>
  <cols>
    <col min="1" max="1" width="2.81640625" style="14" customWidth="1"/>
    <col min="2" max="2" width="58.81640625" style="14" customWidth="1"/>
    <col min="3" max="3" width="23" style="14" customWidth="1"/>
    <col min="4" max="4" width="21.1796875" style="14" customWidth="1"/>
    <col min="5" max="5" width="22.1796875" style="14" customWidth="1"/>
    <col min="6" max="9" width="18.6328125" style="14" customWidth="1"/>
    <col min="10" max="18" width="8.81640625" style="14"/>
    <col min="19" max="19" width="10.453125" style="14" customWidth="1"/>
    <col min="20" max="16384" width="8.81640625" style="14"/>
  </cols>
  <sheetData>
    <row r="1" spans="2:11" ht="25.5" customHeight="1">
      <c r="B1" s="993" t="str">
        <f>IF('A1. Identification'!D7=0, "2025 FAIR, CWELCC and OTEF Reconciliation for Single Site Operators",'A1. Identification'!D7)</f>
        <v>2025 FAIR, CWELCC and OTEF Reconciliation for Single Site Operators</v>
      </c>
      <c r="C1" s="993"/>
      <c r="D1" s="993"/>
      <c r="E1" s="993"/>
      <c r="F1" s="993"/>
      <c r="G1" s="993"/>
      <c r="H1" s="112" t="s">
        <v>109</v>
      </c>
      <c r="I1" s="113" t="str">
        <f>IF('A1. Identification'!$D$13=0, " ",'A1. Identification'!$D$13)</f>
        <v xml:space="preserve"> </v>
      </c>
      <c r="K1" s="333"/>
    </row>
    <row r="2" spans="2:11" ht="20.25" customHeight="1" thickBot="1">
      <c r="B2" s="58"/>
      <c r="C2" s="58"/>
      <c r="D2" s="58"/>
      <c r="E2" s="58"/>
      <c r="F2" s="58"/>
      <c r="G2" s="58"/>
      <c r="H2" s="112" t="s">
        <v>303</v>
      </c>
      <c r="I2" s="113" t="str">
        <f>'A6. Operations'!L2</f>
        <v>Please enter Ministry licence number on tab A6 row 7</v>
      </c>
      <c r="K2" s="333"/>
    </row>
    <row r="3" spans="2:11" ht="24" customHeight="1" thickBot="1">
      <c r="B3" s="1011" t="s">
        <v>242</v>
      </c>
      <c r="C3" s="1012"/>
      <c r="D3" s="1012"/>
      <c r="E3" s="1012"/>
      <c r="F3" s="1012"/>
      <c r="G3" s="1013"/>
      <c r="K3" s="333"/>
    </row>
    <row r="4" spans="2:11">
      <c r="B4"/>
      <c r="C4"/>
      <c r="D4"/>
      <c r="E4"/>
      <c r="K4" s="333"/>
    </row>
    <row r="5" spans="2:11">
      <c r="B5" s="1026" t="s">
        <v>489</v>
      </c>
      <c r="C5" s="1027"/>
      <c r="D5" s="1027"/>
      <c r="E5" s="1028"/>
      <c r="K5" s="333"/>
    </row>
    <row r="6" spans="2:11">
      <c r="B6" s="1029"/>
      <c r="C6" s="1030"/>
      <c r="D6" s="1030"/>
      <c r="E6" s="1031"/>
      <c r="K6" s="333"/>
    </row>
    <row r="7" spans="2:11">
      <c r="B7" s="1032"/>
      <c r="C7" s="1033"/>
      <c r="D7" s="1033"/>
      <c r="E7" s="1034"/>
      <c r="K7" s="333"/>
    </row>
    <row r="8" spans="2:11" ht="18.5">
      <c r="B8" s="334"/>
      <c r="C8" s="334"/>
      <c r="D8" s="334"/>
      <c r="E8" s="334"/>
      <c r="K8" s="333"/>
    </row>
    <row r="9" spans="2:11">
      <c r="B9" s="335" t="s">
        <v>22</v>
      </c>
      <c r="C9" s="1024" t="s">
        <v>23</v>
      </c>
      <c r="D9" s="1025"/>
      <c r="E9" s="336" t="s">
        <v>24</v>
      </c>
      <c r="K9" s="333"/>
    </row>
    <row r="10" spans="2:11">
      <c r="B10" s="1000" t="s">
        <v>25</v>
      </c>
      <c r="C10" s="1004" t="s">
        <v>26</v>
      </c>
      <c r="D10" s="337" t="s">
        <v>27</v>
      </c>
      <c r="E10" s="469"/>
      <c r="K10" s="333"/>
    </row>
    <row r="11" spans="2:11">
      <c r="B11" s="1001"/>
      <c r="C11" s="1005"/>
      <c r="D11" s="337" t="s">
        <v>28</v>
      </c>
      <c r="E11" s="469"/>
      <c r="K11" s="333"/>
    </row>
    <row r="12" spans="2:11">
      <c r="B12" s="1001"/>
      <c r="C12" s="1005"/>
      <c r="D12" s="337" t="s">
        <v>29</v>
      </c>
      <c r="E12" s="469"/>
      <c r="K12" s="333"/>
    </row>
    <row r="13" spans="2:11">
      <c r="B13" s="1001"/>
      <c r="C13" s="1005"/>
      <c r="D13" s="337" t="s">
        <v>30</v>
      </c>
      <c r="E13" s="469"/>
      <c r="K13" s="333"/>
    </row>
    <row r="14" spans="2:11">
      <c r="B14" s="1001"/>
      <c r="C14" s="1005"/>
      <c r="D14" s="337" t="s">
        <v>31</v>
      </c>
      <c r="E14" s="469"/>
      <c r="K14" s="333"/>
    </row>
    <row r="15" spans="2:11">
      <c r="B15" s="1001"/>
      <c r="C15" s="1005"/>
      <c r="D15" s="337" t="s">
        <v>32</v>
      </c>
      <c r="E15" s="469"/>
      <c r="K15" s="333"/>
    </row>
    <row r="16" spans="2:11">
      <c r="B16" s="1001"/>
      <c r="C16" s="1005"/>
      <c r="D16" s="337" t="s">
        <v>33</v>
      </c>
      <c r="E16" s="469"/>
      <c r="K16" s="333"/>
    </row>
    <row r="17" spans="2:25" ht="37">
      <c r="B17" s="1001"/>
      <c r="C17" s="1006"/>
      <c r="D17" s="338" t="s">
        <v>34</v>
      </c>
      <c r="E17" s="339">
        <f>SUM(E10:E16)</f>
        <v>0</v>
      </c>
      <c r="K17" s="333"/>
    </row>
    <row r="18" spans="2:25">
      <c r="B18" s="1001"/>
      <c r="C18" s="1009" t="s">
        <v>35</v>
      </c>
      <c r="D18" s="1010"/>
      <c r="E18" s="103"/>
      <c r="F18" s="340"/>
      <c r="K18" s="333"/>
    </row>
    <row r="19" spans="2:25">
      <c r="B19" s="1002"/>
      <c r="C19" s="1007" t="s">
        <v>36</v>
      </c>
      <c r="D19" s="1007"/>
      <c r="E19" s="341">
        <f>SUM(E17:E18)</f>
        <v>0</v>
      </c>
      <c r="K19" s="333"/>
    </row>
    <row r="20" spans="2:25">
      <c r="B20" s="335" t="s">
        <v>37</v>
      </c>
      <c r="C20" s="1008" t="s">
        <v>38</v>
      </c>
      <c r="D20" s="1008"/>
      <c r="E20" s="103"/>
      <c r="K20" s="333"/>
    </row>
    <row r="21" spans="2:25" ht="18.5">
      <c r="B21" s="1003" t="s">
        <v>39</v>
      </c>
      <c r="C21" s="1003"/>
      <c r="D21" s="1003"/>
      <c r="E21" s="342">
        <f>SUM(E19:E20)</f>
        <v>0</v>
      </c>
      <c r="K21" s="333"/>
    </row>
    <row r="22" spans="2:25" ht="23.5">
      <c r="B22" s="51"/>
      <c r="K22" s="333"/>
    </row>
    <row r="23" spans="2:25" customFormat="1" ht="23.15" customHeight="1">
      <c r="B23" s="1035" t="s">
        <v>11</v>
      </c>
      <c r="C23" s="1036"/>
      <c r="D23" s="1036"/>
      <c r="E23" s="1036"/>
      <c r="F23" s="1036"/>
      <c r="G23" s="1036"/>
      <c r="H23" s="1036"/>
      <c r="I23" s="1036"/>
      <c r="J23" s="14"/>
      <c r="K23" s="343"/>
      <c r="L23" s="343"/>
      <c r="M23" s="343"/>
      <c r="N23" s="343"/>
      <c r="Y23" s="5"/>
    </row>
    <row r="24" spans="2:25" customFormat="1" ht="14.25" customHeight="1">
      <c r="B24" s="344"/>
      <c r="C24" s="344"/>
      <c r="D24" s="344"/>
      <c r="E24" s="344"/>
      <c r="F24" s="344"/>
      <c r="G24" s="344"/>
      <c r="H24" s="344"/>
      <c r="I24" s="344"/>
      <c r="J24" s="343"/>
      <c r="K24" s="343"/>
      <c r="L24" s="343"/>
      <c r="M24" s="343"/>
      <c r="N24" s="343"/>
      <c r="Y24" s="5"/>
    </row>
    <row r="25" spans="2:25" ht="80.5" customHeight="1">
      <c r="B25" s="995" t="s">
        <v>243</v>
      </c>
      <c r="C25" s="996"/>
      <c r="D25" s="996"/>
      <c r="E25" s="996"/>
      <c r="F25" s="996"/>
      <c r="G25" s="996"/>
      <c r="H25" s="996"/>
      <c r="I25" s="997"/>
      <c r="J25" s="343"/>
      <c r="K25" s="343"/>
      <c r="L25" s="343"/>
      <c r="M25" s="343"/>
      <c r="N25" s="343"/>
      <c r="P25" s="994"/>
      <c r="Q25" s="994"/>
      <c r="R25" s="994"/>
      <c r="S25" s="994"/>
      <c r="T25" s="994"/>
      <c r="U25" s="994"/>
    </row>
    <row r="26" spans="2:25" ht="16" customHeight="1">
      <c r="B26" s="998" t="s">
        <v>12</v>
      </c>
      <c r="C26" s="999"/>
      <c r="D26" s="999"/>
      <c r="E26" s="999"/>
      <c r="F26" s="999"/>
      <c r="G26" s="999"/>
      <c r="H26" s="999"/>
      <c r="I26" s="345"/>
      <c r="J26" s="343"/>
      <c r="K26" s="343"/>
      <c r="L26" s="343"/>
      <c r="M26" s="343"/>
      <c r="N26" s="343"/>
      <c r="P26" s="994"/>
      <c r="Q26" s="994"/>
      <c r="R26" s="994"/>
      <c r="S26" s="994"/>
      <c r="T26" s="994"/>
      <c r="U26" s="994"/>
    </row>
    <row r="27" spans="2:25" ht="13" customHeight="1">
      <c r="B27" s="346"/>
      <c r="C27" s="346"/>
      <c r="D27" s="346"/>
      <c r="E27" s="346"/>
      <c r="F27"/>
      <c r="G27" s="346"/>
      <c r="H27" s="346"/>
      <c r="I27" s="343"/>
      <c r="J27" s="343"/>
      <c r="K27" s="343"/>
      <c r="L27" s="343"/>
      <c r="M27" s="343"/>
      <c r="N27" s="343"/>
    </row>
    <row r="28" spans="2:25" customFormat="1" ht="31.5" customHeight="1">
      <c r="B28" s="1014" t="s">
        <v>830</v>
      </c>
      <c r="C28" s="1014"/>
      <c r="D28" s="1014"/>
      <c r="E28" s="1014"/>
      <c r="F28" s="1014"/>
      <c r="G28" s="1014"/>
      <c r="H28" s="1014"/>
      <c r="I28" s="1014"/>
      <c r="K28" s="90"/>
      <c r="M28" s="348"/>
      <c r="Y28" s="5"/>
    </row>
    <row r="29" spans="2:25" customFormat="1" ht="14.5" customHeight="1">
      <c r="B29" s="343"/>
      <c r="C29" s="343"/>
      <c r="D29" s="343"/>
      <c r="F29" s="343"/>
      <c r="G29" s="343"/>
      <c r="H29" s="343"/>
      <c r="K29" s="310"/>
      <c r="Y29" s="5"/>
    </row>
    <row r="30" spans="2:25" customFormat="1" ht="14.5" customHeight="1">
      <c r="B30" s="349" t="s">
        <v>330</v>
      </c>
      <c r="C30" s="119"/>
      <c r="D30" s="350" t="s">
        <v>389</v>
      </c>
      <c r="F30" s="1015"/>
      <c r="G30" s="1016"/>
      <c r="H30" s="1016"/>
      <c r="I30" s="1017"/>
      <c r="K30" s="310"/>
      <c r="Y30" s="5"/>
    </row>
    <row r="31" spans="2:25" customFormat="1" ht="14.5" customHeight="1">
      <c r="B31" s="343"/>
      <c r="C31" s="343"/>
      <c r="D31" s="343"/>
      <c r="F31" s="1018"/>
      <c r="G31" s="1019"/>
      <c r="H31" s="1019"/>
      <c r="I31" s="1020"/>
      <c r="K31" s="310"/>
      <c r="Y31" s="5"/>
    </row>
    <row r="32" spans="2:25" customFormat="1" ht="14.5" customHeight="1">
      <c r="B32" s="351"/>
      <c r="C32" s="351"/>
      <c r="D32" s="351"/>
      <c r="E32" s="351"/>
      <c r="F32" s="351"/>
      <c r="G32" s="351"/>
      <c r="H32" s="351"/>
      <c r="I32" s="351"/>
      <c r="K32" s="310"/>
      <c r="Y32" s="5"/>
    </row>
    <row r="33" spans="2:25" s="330" customFormat="1" ht="30" customHeight="1">
      <c r="B33" s="52" t="s">
        <v>13</v>
      </c>
      <c r="C33" s="1037"/>
      <c r="D33" s="1038"/>
      <c r="E33" s="1039"/>
      <c r="F33" s="1021" t="s">
        <v>92</v>
      </c>
      <c r="G33" s="1022"/>
      <c r="H33" s="1023"/>
      <c r="I33" s="467"/>
      <c r="K33" s="352"/>
      <c r="M33" s="330">
        <v>0</v>
      </c>
      <c r="Y33" s="353"/>
    </row>
    <row r="34" spans="2:25" s="358" customFormat="1">
      <c r="B34" s="354" t="s">
        <v>1</v>
      </c>
      <c r="C34" s="355" t="s">
        <v>2</v>
      </c>
      <c r="D34" s="355" t="s">
        <v>3</v>
      </c>
      <c r="E34" s="355" t="s">
        <v>4</v>
      </c>
      <c r="F34" s="355" t="s">
        <v>5</v>
      </c>
      <c r="G34" s="355" t="s">
        <v>6</v>
      </c>
      <c r="H34" s="356" t="s">
        <v>14</v>
      </c>
      <c r="I34" s="357" t="s">
        <v>8</v>
      </c>
      <c r="L34" s="8"/>
      <c r="N34" s="358">
        <v>0</v>
      </c>
      <c r="Y34" s="359"/>
    </row>
    <row r="35" spans="2:25" s="302" customFormat="1" ht="19.5" customHeight="1">
      <c r="B35" s="360" t="s">
        <v>403</v>
      </c>
      <c r="C35" s="468"/>
      <c r="D35" s="468"/>
      <c r="E35" s="468"/>
      <c r="F35" s="468"/>
      <c r="G35" s="468"/>
      <c r="H35" s="468"/>
      <c r="I35" s="468"/>
      <c r="J35" s="361"/>
      <c r="K35"/>
      <c r="L35"/>
      <c r="M35"/>
      <c r="N35"/>
      <c r="O35"/>
      <c r="P35"/>
      <c r="Q35"/>
      <c r="R35"/>
      <c r="S35"/>
      <c r="U35" s="362">
        <f>+C35+D35+E35+F35+G35+H35</f>
        <v>0</v>
      </c>
      <c r="Y35" s="363"/>
    </row>
    <row r="36" spans="2:25" s="302" customFormat="1" ht="27.75" customHeight="1">
      <c r="B36" s="360" t="s">
        <v>15</v>
      </c>
      <c r="C36" s="468"/>
      <c r="D36" s="468"/>
      <c r="E36" s="468"/>
      <c r="F36" s="468"/>
      <c r="G36" s="468"/>
      <c r="H36" s="468"/>
      <c r="I36" s="468"/>
      <c r="J36" s="361"/>
      <c r="K36"/>
      <c r="L36"/>
      <c r="M36"/>
      <c r="N36"/>
      <c r="O36"/>
      <c r="P36"/>
      <c r="Q36"/>
      <c r="R36"/>
      <c r="S36"/>
      <c r="U36" s="362"/>
      <c r="Y36" s="363"/>
    </row>
    <row r="37" spans="2:25" s="302" customFormat="1" ht="21.75" customHeight="1">
      <c r="B37" s="360" t="s">
        <v>9</v>
      </c>
      <c r="C37" s="468"/>
      <c r="D37" s="468"/>
      <c r="E37" s="468"/>
      <c r="F37" s="468"/>
      <c r="G37" s="468"/>
      <c r="H37" s="468"/>
      <c r="I37" s="468"/>
      <c r="J37" s="361"/>
      <c r="K37"/>
      <c r="L37"/>
      <c r="M37"/>
      <c r="N37"/>
      <c r="O37"/>
      <c r="P37"/>
      <c r="Q37"/>
      <c r="R37"/>
      <c r="S37"/>
      <c r="U37" s="362"/>
      <c r="Y37" s="363"/>
    </row>
    <row r="38" spans="2:25" s="302" customFormat="1" ht="22.5" customHeight="1">
      <c r="B38" s="360" t="s">
        <v>466</v>
      </c>
      <c r="C38" s="468"/>
      <c r="D38" s="468"/>
      <c r="E38" s="468"/>
      <c r="F38" s="468"/>
      <c r="G38" s="468"/>
      <c r="H38" s="468"/>
      <c r="I38" s="468"/>
      <c r="J38" s="361"/>
      <c r="K38"/>
      <c r="L38"/>
      <c r="M38"/>
      <c r="N38"/>
      <c r="O38"/>
      <c r="P38"/>
      <c r="Q38"/>
      <c r="R38"/>
      <c r="S38"/>
      <c r="U38" s="362"/>
      <c r="Y38" s="363"/>
    </row>
    <row r="39" spans="2:25" s="302" customFormat="1" ht="25.5" customHeight="1">
      <c r="B39" s="360" t="s">
        <v>10</v>
      </c>
      <c r="C39" s="468"/>
      <c r="D39" s="468"/>
      <c r="E39" s="468"/>
      <c r="F39" s="468"/>
      <c r="G39" s="468"/>
      <c r="H39" s="468"/>
      <c r="I39" s="468"/>
      <c r="J39" s="361"/>
      <c r="K39"/>
      <c r="L39"/>
      <c r="M39"/>
      <c r="N39"/>
      <c r="O39"/>
      <c r="P39"/>
      <c r="Q39"/>
      <c r="R39"/>
      <c r="S39"/>
      <c r="U39" s="362"/>
      <c r="Y39" s="363"/>
    </row>
    <row r="40" spans="2:25" s="302" customFormat="1">
      <c r="B40" s="340"/>
      <c r="C40" s="340"/>
      <c r="D40" s="340"/>
      <c r="E40" s="340"/>
      <c r="F40" s="340"/>
      <c r="G40" s="340"/>
      <c r="I40" s="340"/>
      <c r="Y40" s="363"/>
    </row>
    <row r="41" spans="2:25" s="330" customFormat="1" ht="15.4" customHeight="1">
      <c r="B41" s="354" t="s">
        <v>16</v>
      </c>
      <c r="C41" s="364" t="s">
        <v>2</v>
      </c>
      <c r="D41" s="364" t="s">
        <v>3</v>
      </c>
      <c r="E41" s="364" t="s">
        <v>4</v>
      </c>
      <c r="F41" s="364" t="s">
        <v>5</v>
      </c>
      <c r="G41" s="364" t="s">
        <v>6</v>
      </c>
      <c r="H41" s="364" t="s">
        <v>7</v>
      </c>
      <c r="I41" s="364" t="s">
        <v>8</v>
      </c>
      <c r="L41"/>
      <c r="Y41" s="353"/>
    </row>
    <row r="42" spans="2:25" s="302" customFormat="1">
      <c r="B42" s="365" t="s">
        <v>17</v>
      </c>
      <c r="C42" s="53">
        <v>0.3</v>
      </c>
      <c r="D42" s="53">
        <v>0.2</v>
      </c>
      <c r="E42" s="53">
        <v>0.125</v>
      </c>
      <c r="F42" s="53">
        <v>7.6923076923076927E-2</v>
      </c>
      <c r="G42" s="53">
        <v>0.2</v>
      </c>
      <c r="H42" s="53">
        <v>6.6666666666666666E-2</v>
      </c>
      <c r="I42" s="53">
        <v>0.05</v>
      </c>
      <c r="L42" s="330"/>
      <c r="Y42" s="363"/>
    </row>
    <row r="43" spans="2:25" s="302" customFormat="1">
      <c r="B43" s="365" t="s">
        <v>18</v>
      </c>
      <c r="C43" s="53">
        <v>0.1</v>
      </c>
      <c r="D43" s="53">
        <v>6.6666666666666666E-2</v>
      </c>
      <c r="E43" s="53">
        <v>4.1666666666666664E-2</v>
      </c>
      <c r="F43" s="53">
        <v>3.8461538461538464E-2</v>
      </c>
      <c r="G43" s="53">
        <v>6.6666666666666666E-2</v>
      </c>
      <c r="H43" s="53">
        <v>3.3333333333333333E-2</v>
      </c>
      <c r="I43" s="53">
        <v>0.05</v>
      </c>
      <c r="L43" s="330"/>
      <c r="Y43" s="363"/>
    </row>
    <row r="44" spans="2:25" s="302" customFormat="1">
      <c r="B44" s="340"/>
      <c r="C44" s="340"/>
      <c r="D44" s="340"/>
      <c r="E44" s="340"/>
      <c r="F44" s="340"/>
      <c r="G44" s="340"/>
      <c r="H44" s="340"/>
      <c r="I44" s="340"/>
      <c r="Y44" s="363"/>
    </row>
    <row r="45" spans="2:25" s="330" customFormat="1" ht="45" customHeight="1">
      <c r="B45" s="366" t="s">
        <v>19</v>
      </c>
      <c r="C45" s="366" t="s">
        <v>20</v>
      </c>
      <c r="D45" s="366" t="s">
        <v>21</v>
      </c>
      <c r="E45" s="367"/>
      <c r="F45" s="367"/>
      <c r="G45" s="367"/>
      <c r="H45" s="367"/>
      <c r="I45" s="367"/>
      <c r="L45" s="302"/>
      <c r="Y45" s="353"/>
    </row>
    <row r="46" spans="2:25" s="302" customFormat="1" ht="32.25" customHeight="1">
      <c r="B46" s="54" t="s">
        <v>244</v>
      </c>
      <c r="C46" s="55" t="str">
        <f>IFERROR(ROUND(SUMPRODUCT(C35:I35,C38:I38,C42:I42)/(SUMPRODUCT(C35:I35,C38:I38,C42:I42)+SUMPRODUCT(C36:I36,C38:I38,C42:I42)),4),"")</f>
        <v/>
      </c>
      <c r="D46" s="55" t="str">
        <f>IFERROR(1-C46,"")</f>
        <v/>
      </c>
      <c r="E46" s="368"/>
      <c r="K46" s="369"/>
      <c r="Y46" s="363"/>
    </row>
    <row r="47" spans="2:25" s="302" customFormat="1" ht="30" customHeight="1">
      <c r="B47" s="54" t="s">
        <v>245</v>
      </c>
      <c r="C47" s="55" t="str">
        <f>IFERROR(ROUND(SUMPRODUCT(C35:I35,C42:I42)/(SUMPRODUCT(C35:I35,C42:I42)+SUMPRODUCT(C36:I36,C42:I42)),4),"")</f>
        <v/>
      </c>
      <c r="D47" s="55" t="str">
        <f>IFERROR(1-C47,"")</f>
        <v/>
      </c>
      <c r="E47" s="368"/>
      <c r="K47" s="369"/>
      <c r="Y47" s="363"/>
    </row>
    <row r="48" spans="2:25" s="302" customFormat="1" ht="51" customHeight="1">
      <c r="B48" s="54" t="s">
        <v>246</v>
      </c>
      <c r="C48" s="55" t="str">
        <f>IFERROR(MIN(ROUND((SUMPRODUCT(C39:G39,C43:G43)+SUMPRODUCT(H35:I35,H43:I43))/SUMPRODUCT(C39:I39,C43:I43),4), 1), "")</f>
        <v/>
      </c>
      <c r="D48" s="55" t="str">
        <f>IFERROR(1-C48,"")</f>
        <v/>
      </c>
      <c r="E48" s="368"/>
      <c r="K48" s="369"/>
      <c r="Y48" s="363"/>
    </row>
    <row r="49" spans="2:25" s="302" customFormat="1" ht="28.5" customHeight="1">
      <c r="B49" s="54" t="s">
        <v>247</v>
      </c>
      <c r="C49" s="55" t="str">
        <f>IFERROR(ROUND(SUMPRODUCT(C35:I35,C38:I38,C42:I42)/(SUMPRODUCT(C35:I35,C38:I38,C42:I42)+SUMPRODUCT(C36:I36,C38:I38,C42:I42)),4),"")</f>
        <v/>
      </c>
      <c r="D49" s="55" t="str">
        <f>IFERROR(1-C49,"")</f>
        <v/>
      </c>
      <c r="E49" s="368"/>
      <c r="K49" s="369"/>
      <c r="Y49" s="363"/>
    </row>
    <row r="64" spans="2:25">
      <c r="B64" s="370"/>
    </row>
  </sheetData>
  <sheetProtection sheet="1" objects="1" scenarios="1"/>
  <mergeCells count="18">
    <mergeCell ref="B28:I28"/>
    <mergeCell ref="F30:I31"/>
    <mergeCell ref="F33:H33"/>
    <mergeCell ref="C9:D9"/>
    <mergeCell ref="B5:E7"/>
    <mergeCell ref="B23:I23"/>
    <mergeCell ref="C33:E33"/>
    <mergeCell ref="B1:G1"/>
    <mergeCell ref="P25:U26"/>
    <mergeCell ref="B25:I25"/>
    <mergeCell ref="B26:H26"/>
    <mergeCell ref="B10:B19"/>
    <mergeCell ref="B21:D21"/>
    <mergeCell ref="C10:C17"/>
    <mergeCell ref="C19:D19"/>
    <mergeCell ref="C20:D20"/>
    <mergeCell ref="C18:D18"/>
    <mergeCell ref="B3:G3"/>
  </mergeCells>
  <phoneticPr fontId="5" type="noConversion"/>
  <dataValidations count="3">
    <dataValidation type="decimal" allowBlank="1" showInputMessage="1" showErrorMessage="1" errorTitle="Error" error="Must be between 0 and 100%" sqref="C46:D49" xr:uid="{A8D3BCD6-97CE-4262-BD25-5ECA57E1C6B0}">
      <formula1>0</formula1>
      <formula2>1</formula2>
    </dataValidation>
    <dataValidation type="decimal" allowBlank="1" showInputMessage="1" showErrorMessage="1" prompt="Input value from 1 to 12" sqref="I33" xr:uid="{64FD431D-44F8-4AEB-9A66-5BF2485C5589}">
      <formula1>1</formula1>
      <formula2>12</formula2>
    </dataValidation>
    <dataValidation type="decimal" operator="lessThanOrEqual" allowBlank="1" showInputMessage="1" showErrorMessage="1" error="Input amount as a negative" prompt="Input amount as a negative" sqref="E18" xr:uid="{D1A4C7C9-2E70-49A2-A8DF-15C74BFF6DC2}">
      <formula1>0</formula1>
    </dataValidation>
  </dataValidations>
  <pageMargins left="0.7" right="0.7" top="0.75" bottom="0.75" header="0.3" footer="0.3"/>
  <pageSetup scale="8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E51B8-C857-45C3-8BC0-E4B88E356F5F}">
  <sheetPr>
    <tabColor theme="9" tint="0.59999389629810485"/>
  </sheetPr>
  <dimension ref="A1:N202"/>
  <sheetViews>
    <sheetView showGridLines="0" zoomScale="85" zoomScaleNormal="85" workbookViewId="0">
      <selection activeCell="B2" sqref="B2:F2"/>
    </sheetView>
  </sheetViews>
  <sheetFormatPr defaultRowHeight="14.5" outlineLevelRow="1"/>
  <cols>
    <col min="1" max="1" width="3.26953125" customWidth="1"/>
    <col min="2" max="2" width="53" customWidth="1"/>
    <col min="3" max="4" width="24.453125" customWidth="1"/>
    <col min="5" max="5" width="22.453125" customWidth="1"/>
    <col min="6" max="6" width="26.1796875" customWidth="1"/>
    <col min="7" max="7" width="20.81640625" customWidth="1"/>
    <col min="8" max="8" width="15.26953125" customWidth="1"/>
    <col min="9" max="9" width="17.81640625" customWidth="1"/>
    <col min="10" max="10" width="11.54296875" bestFit="1" customWidth="1"/>
    <col min="11" max="11" width="12.26953125" customWidth="1"/>
    <col min="12" max="12" width="10.453125" customWidth="1"/>
    <col min="13" max="13" width="10.54296875" bestFit="1" customWidth="1"/>
  </cols>
  <sheetData>
    <row r="1" spans="2:8" s="14" customFormat="1" ht="23.5">
      <c r="B1" s="993" t="str">
        <f>IF('A1. Identification'!D7=0, "2025 FAIR, CWELCC and OTEF Reconciliation for Single Site Operators",'A1. Identification'!D7)</f>
        <v>2025 FAIR, CWELCC and OTEF Reconciliation for Single Site Operators</v>
      </c>
      <c r="C1" s="993"/>
      <c r="D1" s="993"/>
      <c r="E1" s="993"/>
      <c r="F1" s="993"/>
      <c r="G1" s="112" t="s">
        <v>109</v>
      </c>
      <c r="H1" s="113" t="str">
        <f>IF('A1. Identification'!$D$13=0, " ",'A1. Identification'!$D$13)</f>
        <v xml:space="preserve"> </v>
      </c>
    </row>
    <row r="2" spans="2:8" s="14" customFormat="1" ht="22" customHeight="1">
      <c r="B2" s="993" t="s">
        <v>209</v>
      </c>
      <c r="C2" s="993"/>
      <c r="D2" s="993"/>
      <c r="E2" s="993"/>
      <c r="F2" s="993"/>
      <c r="G2" s="112" t="s">
        <v>303</v>
      </c>
      <c r="H2" s="113" t="str">
        <f>'A6. Operations'!L2</f>
        <v>Please enter Ministry licence number on tab A6 row 7</v>
      </c>
    </row>
    <row r="5" spans="2:8" ht="21">
      <c r="B5" s="1065" t="s">
        <v>324</v>
      </c>
      <c r="C5" s="1065"/>
      <c r="D5" s="1065"/>
      <c r="E5" s="1065"/>
      <c r="F5" s="1065"/>
    </row>
    <row r="6" spans="2:8" ht="19.5" customHeight="1" thickBot="1">
      <c r="B6" s="87"/>
    </row>
    <row r="7" spans="2:8" ht="15.65" customHeight="1">
      <c r="B7" s="1059" t="s">
        <v>839</v>
      </c>
      <c r="C7" s="1060"/>
      <c r="D7" s="1060"/>
      <c r="E7" s="1060"/>
      <c r="F7" s="1061"/>
    </row>
    <row r="8" spans="2:8" ht="15.65" customHeight="1">
      <c r="B8" s="1066"/>
      <c r="C8" s="1014"/>
      <c r="D8" s="1014"/>
      <c r="E8" s="1014"/>
      <c r="F8" s="1067"/>
    </row>
    <row r="9" spans="2:8" ht="51.75" customHeight="1" thickBot="1">
      <c r="B9" s="1062"/>
      <c r="C9" s="1063"/>
      <c r="D9" s="1063"/>
      <c r="E9" s="1063"/>
      <c r="F9" s="1064"/>
    </row>
    <row r="10" spans="2:8" ht="15.65" customHeight="1" thickBot="1">
      <c r="B10" s="296"/>
      <c r="C10" s="296"/>
      <c r="D10" s="296"/>
      <c r="E10" s="296"/>
      <c r="F10" s="296"/>
    </row>
    <row r="11" spans="2:8" ht="19" customHeight="1">
      <c r="B11" s="1059" t="s">
        <v>846</v>
      </c>
      <c r="C11" s="1060"/>
      <c r="D11" s="1060"/>
      <c r="E11" s="1060"/>
      <c r="F11" s="1061"/>
    </row>
    <row r="12" spans="2:8" ht="15" customHeight="1">
      <c r="B12" s="1066"/>
      <c r="C12" s="1014"/>
      <c r="D12" s="1014"/>
      <c r="E12" s="1014"/>
      <c r="F12" s="1067"/>
    </row>
    <row r="13" spans="2:8" ht="24.75" customHeight="1" thickBot="1">
      <c r="B13" s="1062"/>
      <c r="C13" s="1063"/>
      <c r="D13" s="1063"/>
      <c r="E13" s="1063"/>
      <c r="F13" s="1064"/>
    </row>
    <row r="14" spans="2:8" ht="16" thickBot="1">
      <c r="B14" s="296"/>
      <c r="C14" s="296"/>
      <c r="D14" s="296"/>
      <c r="E14" s="296"/>
      <c r="F14" s="296"/>
    </row>
    <row r="15" spans="2:8" ht="15" customHeight="1">
      <c r="B15" s="1059" t="s">
        <v>840</v>
      </c>
      <c r="C15" s="1060"/>
      <c r="D15" s="1060"/>
      <c r="E15" s="1060"/>
      <c r="F15" s="1061"/>
    </row>
    <row r="16" spans="2:8">
      <c r="B16" s="1066"/>
      <c r="C16" s="1014"/>
      <c r="D16" s="1014"/>
      <c r="E16" s="1014"/>
      <c r="F16" s="1067"/>
    </row>
    <row r="17" spans="2:13" ht="33" customHeight="1" thickBot="1">
      <c r="B17" s="1062"/>
      <c r="C17" s="1063"/>
      <c r="D17" s="1063"/>
      <c r="E17" s="1063"/>
      <c r="F17" s="1064"/>
    </row>
    <row r="18" spans="2:13" ht="16" thickBot="1">
      <c r="B18" s="87"/>
    </row>
    <row r="19" spans="2:13" ht="18.649999999999999" customHeight="1">
      <c r="B19" s="1059" t="s">
        <v>841</v>
      </c>
      <c r="C19" s="1060"/>
      <c r="D19" s="1060"/>
      <c r="E19" s="1060"/>
      <c r="F19" s="1061"/>
    </row>
    <row r="20" spans="2:13" ht="41.25" customHeight="1" thickBot="1">
      <c r="B20" s="1062"/>
      <c r="C20" s="1063"/>
      <c r="D20" s="1063"/>
      <c r="E20" s="1063"/>
      <c r="F20" s="1064"/>
    </row>
    <row r="21" spans="2:13" ht="15.65" customHeight="1" thickBot="1">
      <c r="B21" s="296"/>
      <c r="C21" s="296"/>
      <c r="D21" s="296"/>
      <c r="E21" s="296"/>
      <c r="F21" s="296"/>
      <c r="K21" s="90"/>
    </row>
    <row r="22" spans="2:13" ht="18.649999999999999" customHeight="1">
      <c r="B22" s="1059" t="s">
        <v>842</v>
      </c>
      <c r="C22" s="1060"/>
      <c r="D22" s="1060"/>
      <c r="E22" s="1060"/>
      <c r="F22" s="1061"/>
      <c r="K22" s="90"/>
    </row>
    <row r="23" spans="2:13" ht="24" customHeight="1" thickBot="1">
      <c r="B23" s="1062"/>
      <c r="C23" s="1063"/>
      <c r="D23" s="1063"/>
      <c r="E23" s="1063"/>
      <c r="F23" s="1064"/>
      <c r="K23" s="90"/>
    </row>
    <row r="24" spans="2:13" ht="24" customHeight="1" thickBot="1">
      <c r="B24" s="347"/>
      <c r="C24" s="347"/>
      <c r="D24" s="347"/>
      <c r="E24" s="347"/>
      <c r="F24" s="347"/>
      <c r="K24" s="90"/>
    </row>
    <row r="25" spans="2:13">
      <c r="B25" s="1059" t="s">
        <v>843</v>
      </c>
      <c r="C25" s="1060"/>
      <c r="D25" s="1060"/>
      <c r="E25" s="1060"/>
      <c r="F25" s="1061"/>
      <c r="K25" s="90"/>
    </row>
    <row r="26" spans="2:13" ht="15" thickBot="1">
      <c r="B26" s="1062"/>
      <c r="C26" s="1063"/>
      <c r="D26" s="1063"/>
      <c r="E26" s="1063"/>
      <c r="F26" s="1064"/>
    </row>
    <row r="27" spans="2:13" ht="15.5">
      <c r="B27" s="296"/>
      <c r="C27" s="296"/>
      <c r="D27" s="296"/>
      <c r="E27" s="296"/>
      <c r="F27" s="296"/>
    </row>
    <row r="28" spans="2:13" ht="21">
      <c r="B28" s="1068" t="s">
        <v>828</v>
      </c>
      <c r="C28" s="1068"/>
      <c r="D28" s="1068"/>
      <c r="E28" s="1068"/>
      <c r="F28" s="1068"/>
      <c r="M28" s="371"/>
    </row>
    <row r="29" spans="2:13" ht="15.5">
      <c r="B29" s="296"/>
      <c r="C29" s="296"/>
      <c r="D29" s="296"/>
      <c r="E29" s="296"/>
      <c r="F29" s="296"/>
    </row>
    <row r="30" spans="2:13" ht="23.5">
      <c r="B30" s="98" t="s">
        <v>381</v>
      </c>
      <c r="C30" s="95"/>
      <c r="D30" s="95"/>
      <c r="E30" s="95"/>
      <c r="F30" s="95"/>
    </row>
    <row r="31" spans="2:13" ht="15.5">
      <c r="B31" s="96"/>
      <c r="C31" s="96"/>
      <c r="D31" s="96"/>
      <c r="E31" s="96"/>
      <c r="F31" s="96"/>
    </row>
    <row r="32" spans="2:13" ht="15" hidden="1" customHeight="1" outlineLevel="1">
      <c r="B32" s="87" t="s">
        <v>490</v>
      </c>
      <c r="C32" s="372"/>
      <c r="D32" s="372"/>
      <c r="E32" s="372"/>
      <c r="F32" s="372"/>
    </row>
    <row r="33" spans="1:10" ht="15" hidden="1" customHeight="1" outlineLevel="1">
      <c r="B33" s="87" t="s">
        <v>426</v>
      </c>
      <c r="C33" s="372"/>
      <c r="D33" s="372"/>
      <c r="E33" s="372"/>
      <c r="F33" s="372"/>
    </row>
    <row r="34" spans="1:10" ht="15" hidden="1" customHeight="1" outlineLevel="1" thickBot="1">
      <c r="B34" s="1014" t="str">
        <f>"For parent fees 0-6 split use actual enrollment for 0-6, for Lunch and refreshments providers can use the proration from tab 2 for Operations  " &amp; TEXT('A2.Allocation &amp; Operating Plan'!C49,"0.00%") &amp; " for 0-6 split and for Program staffing can use " &amp; TEXT('A2.Allocation &amp; Operating Plan'!C46,"0.00%") &amp; " for 0-6 split."</f>
        <v>For parent fees 0-6 split use actual enrollment for 0-6, for Lunch and refreshments providers can use the proration from tab 2 for Operations   for 0-6 split and for Program staffing can use  for 0-6 split.</v>
      </c>
      <c r="C34" s="1014"/>
      <c r="D34" s="1014"/>
      <c r="E34" s="1014"/>
      <c r="F34" s="1014"/>
    </row>
    <row r="35" spans="1:10" ht="40.5" hidden="1" customHeight="1" outlineLevel="1">
      <c r="B35" s="1042"/>
      <c r="C35" s="1042"/>
      <c r="D35" s="1042"/>
      <c r="E35" s="1042"/>
      <c r="F35" s="1042"/>
      <c r="G35" s="1055" t="s">
        <v>462</v>
      </c>
      <c r="H35" s="1056"/>
      <c r="I35" s="1057"/>
    </row>
    <row r="36" spans="1:10" ht="55.5" hidden="1" outlineLevel="1">
      <c r="B36" s="373" t="s">
        <v>435</v>
      </c>
      <c r="C36" s="374" t="s">
        <v>455</v>
      </c>
      <c r="D36" s="373" t="s">
        <v>225</v>
      </c>
      <c r="E36" s="374" t="s">
        <v>439</v>
      </c>
      <c r="F36" s="375" t="s">
        <v>383</v>
      </c>
      <c r="G36" s="376" t="s">
        <v>386</v>
      </c>
      <c r="H36" s="373" t="s">
        <v>387</v>
      </c>
      <c r="I36" s="377" t="s">
        <v>480</v>
      </c>
    </row>
    <row r="37" spans="1:10" hidden="1" outlineLevel="1">
      <c r="B37" s="378" t="s">
        <v>436</v>
      </c>
      <c r="C37" s="378" t="s">
        <v>431</v>
      </c>
      <c r="D37" s="435"/>
      <c r="E37" s="436"/>
      <c r="F37" s="379">
        <f>+D37-E37</f>
        <v>0</v>
      </c>
      <c r="G37" s="437"/>
      <c r="H37" s="380">
        <f>E37-G37</f>
        <v>0</v>
      </c>
      <c r="I37" s="381">
        <f>+G37+H37</f>
        <v>0</v>
      </c>
    </row>
    <row r="38" spans="1:10" ht="15.75" hidden="1" customHeight="1" outlineLevel="1">
      <c r="B38" s="378" t="s">
        <v>437</v>
      </c>
      <c r="C38" s="378" t="s">
        <v>432</v>
      </c>
      <c r="D38" s="435"/>
      <c r="E38" s="436"/>
      <c r="F38" s="379">
        <f>+D38-E38</f>
        <v>0</v>
      </c>
      <c r="G38" s="437"/>
      <c r="H38" s="380">
        <f>+E38-G38</f>
        <v>0</v>
      </c>
      <c r="I38" s="381">
        <f t="shared" ref="I38:I39" si="0">+G38+H38</f>
        <v>0</v>
      </c>
      <c r="J38" s="107"/>
    </row>
    <row r="39" spans="1:10" ht="29" hidden="1" outlineLevel="1">
      <c r="B39" s="378" t="s">
        <v>438</v>
      </c>
      <c r="C39" s="378" t="s">
        <v>433</v>
      </c>
      <c r="D39" s="435"/>
      <c r="E39" s="436"/>
      <c r="F39" s="379">
        <f>+D39-E39</f>
        <v>0</v>
      </c>
      <c r="G39" s="438"/>
      <c r="H39" s="380">
        <f>+E39-G39</f>
        <v>0</v>
      </c>
      <c r="I39" s="382">
        <f t="shared" si="0"/>
        <v>0</v>
      </c>
      <c r="J39" s="107"/>
    </row>
    <row r="40" spans="1:10" ht="20.149999999999999" hidden="1" customHeight="1" outlineLevel="1" thickBot="1">
      <c r="B40" s="383" t="s">
        <v>305</v>
      </c>
      <c r="C40" s="383"/>
      <c r="D40" s="384">
        <f t="shared" ref="D40:H40" si="1">SUM(D37:D39)</f>
        <v>0</v>
      </c>
      <c r="E40" s="385">
        <f t="shared" si="1"/>
        <v>0</v>
      </c>
      <c r="F40" s="386">
        <f>SUM(F37:F39)</f>
        <v>0</v>
      </c>
      <c r="G40" s="387">
        <f>SUM(G37:G39)</f>
        <v>0</v>
      </c>
      <c r="H40" s="388">
        <f t="shared" si="1"/>
        <v>0</v>
      </c>
      <c r="I40" s="389">
        <f>SUM(I37:I39)</f>
        <v>0</v>
      </c>
      <c r="J40" s="390" t="str">
        <f>IF(E40&lt;&gt;I40, "Error: Total Spent for 0-12, does not equal Funding Spent as reported on GovGrants"," ")</f>
        <v xml:space="preserve"> </v>
      </c>
    </row>
    <row r="41" spans="1:10" ht="15.5" hidden="1" outlineLevel="1">
      <c r="B41" s="96"/>
      <c r="C41" s="96"/>
      <c r="D41" s="96"/>
      <c r="E41" s="390" t="str">
        <f>IF(E40&gt;D40,"Error: Total Funding Spent is higher than total awarded budget"," ")</f>
        <v xml:space="preserve"> </v>
      </c>
      <c r="F41" s="14"/>
      <c r="G41" s="390" t="str">
        <f>IF(G40&gt;E40,"Error: Funding for 0-6  is higher than Spent on GovGrants"," ")</f>
        <v xml:space="preserve"> </v>
      </c>
    </row>
    <row r="42" spans="1:10" ht="15.5" collapsed="1">
      <c r="A42" s="371" t="s">
        <v>818</v>
      </c>
      <c r="B42" s="87"/>
    </row>
    <row r="43" spans="1:10" ht="15.5">
      <c r="A43" s="87"/>
      <c r="B43" s="87"/>
    </row>
    <row r="44" spans="1:10" ht="23.5">
      <c r="B44" s="1040" t="s">
        <v>358</v>
      </c>
      <c r="C44" s="1040"/>
      <c r="D44" s="1040"/>
      <c r="E44" s="1040"/>
      <c r="F44" s="1040"/>
    </row>
    <row r="45" spans="1:10" ht="16" thickBot="1">
      <c r="B45" s="14"/>
      <c r="C45" s="14"/>
      <c r="D45" s="14"/>
      <c r="E45" s="14"/>
      <c r="F45" s="14"/>
      <c r="G45" s="14"/>
      <c r="H45" s="14"/>
      <c r="I45" s="14"/>
    </row>
    <row r="46" spans="1:10" ht="19" thickBot="1">
      <c r="B46" s="1049" t="s">
        <v>297</v>
      </c>
      <c r="C46" s="1050"/>
      <c r="D46" s="1050"/>
      <c r="E46" s="1050"/>
      <c r="F46" s="1051"/>
    </row>
    <row r="47" spans="1:10" ht="15.75" hidden="1" customHeight="1" outlineLevel="1">
      <c r="B47" s="1041" t="s">
        <v>836</v>
      </c>
      <c r="C47" s="1041"/>
      <c r="D47" s="1041"/>
      <c r="E47" s="1041"/>
      <c r="F47" s="1041"/>
    </row>
    <row r="48" spans="1:10" ht="15.75" hidden="1" customHeight="1" outlineLevel="1">
      <c r="B48" s="1041"/>
      <c r="C48" s="1041"/>
      <c r="D48" s="1041"/>
      <c r="E48" s="1041"/>
      <c r="F48" s="1041"/>
    </row>
    <row r="49" spans="2:9" ht="15.75" hidden="1" customHeight="1" outlineLevel="1">
      <c r="B49" s="1041"/>
      <c r="C49" s="1041"/>
      <c r="D49" s="1041"/>
      <c r="E49" s="1041"/>
      <c r="F49" s="1041"/>
    </row>
    <row r="50" spans="2:9" ht="74.25" hidden="1" customHeight="1" outlineLevel="1">
      <c r="B50" s="1041"/>
      <c r="C50" s="1041"/>
      <c r="D50" s="1041"/>
      <c r="E50" s="1041"/>
      <c r="F50" s="1041"/>
    </row>
    <row r="51" spans="2:9" ht="22.5" hidden="1" customHeight="1" outlineLevel="1" thickBot="1">
      <c r="B51" s="296"/>
      <c r="C51" s="296"/>
      <c r="D51" s="296"/>
      <c r="E51" s="296"/>
      <c r="F51" s="296"/>
    </row>
    <row r="52" spans="2:9" ht="18.5" hidden="1" outlineLevel="1">
      <c r="B52" s="1043" t="s">
        <v>338</v>
      </c>
      <c r="C52" s="1044"/>
      <c r="D52" s="1044"/>
      <c r="E52" s="1045"/>
    </row>
    <row r="53" spans="2:9" ht="15.5" hidden="1" outlineLevel="1">
      <c r="B53" s="83"/>
      <c r="C53" s="14"/>
      <c r="D53" s="14"/>
      <c r="E53" s="81"/>
      <c r="F53" s="14"/>
    </row>
    <row r="54" spans="2:9" ht="15.5" hidden="1" outlineLevel="1">
      <c r="B54" s="83" t="s">
        <v>427</v>
      </c>
      <c r="C54" s="439"/>
      <c r="D54" s="14"/>
      <c r="E54" s="81"/>
      <c r="F54" s="14"/>
    </row>
    <row r="55" spans="2:9" ht="15.5" hidden="1" outlineLevel="1">
      <c r="B55" s="76"/>
      <c r="E55" s="56"/>
      <c r="F55" s="14"/>
    </row>
    <row r="56" spans="2:9" ht="15.5" hidden="1" outlineLevel="1">
      <c r="B56" s="83" t="s">
        <v>448</v>
      </c>
      <c r="C56" s="14"/>
      <c r="D56" s="14"/>
      <c r="E56" s="81"/>
      <c r="F56" s="14"/>
    </row>
    <row r="57" spans="2:9" ht="15.5" hidden="1" outlineLevel="1">
      <c r="B57" s="391" t="s">
        <v>316</v>
      </c>
      <c r="C57" s="392" t="s">
        <v>248</v>
      </c>
      <c r="E57" s="81"/>
      <c r="F57" s="14"/>
    </row>
    <row r="58" spans="2:9" ht="15.5" hidden="1" outlineLevel="1">
      <c r="B58" s="393" t="s">
        <v>292</v>
      </c>
      <c r="C58" s="86"/>
      <c r="D58" s="394"/>
      <c r="E58" s="81"/>
      <c r="F58" s="14"/>
      <c r="I58" s="57"/>
    </row>
    <row r="59" spans="2:9" ht="15.5" hidden="1" outlineLevel="1">
      <c r="B59" s="395" t="s">
        <v>295</v>
      </c>
      <c r="C59" s="100"/>
      <c r="D59" s="396"/>
      <c r="E59" s="81"/>
      <c r="F59" s="14"/>
    </row>
    <row r="60" spans="2:9" ht="15.5" hidden="1" outlineLevel="1">
      <c r="B60" s="395" t="s">
        <v>296</v>
      </c>
      <c r="C60" s="100"/>
      <c r="D60" s="84"/>
      <c r="E60" s="81"/>
      <c r="F60" s="14"/>
    </row>
    <row r="61" spans="2:9" ht="12.65" hidden="1" customHeight="1" outlineLevel="1">
      <c r="B61" s="397" t="s">
        <v>317</v>
      </c>
      <c r="C61" s="398">
        <f>C58-C59-C60</f>
        <v>0</v>
      </c>
      <c r="E61" s="81"/>
      <c r="F61" s="14"/>
    </row>
    <row r="62" spans="2:9" ht="15.5" hidden="1" outlineLevel="1">
      <c r="B62" s="83"/>
      <c r="C62" s="14"/>
      <c r="E62" s="81"/>
      <c r="F62" s="14"/>
    </row>
    <row r="63" spans="2:9" ht="15.5" hidden="1" outlineLevel="1">
      <c r="B63" s="92" t="s">
        <v>318</v>
      </c>
      <c r="C63" s="392" t="s">
        <v>248</v>
      </c>
      <c r="D63" s="392" t="s">
        <v>289</v>
      </c>
      <c r="E63" s="56"/>
      <c r="F63" s="14"/>
    </row>
    <row r="64" spans="2:9" ht="15.5" hidden="1" outlineLevel="1">
      <c r="B64" s="83" t="s">
        <v>317</v>
      </c>
      <c r="C64" s="398">
        <f>C61</f>
        <v>0</v>
      </c>
      <c r="D64" s="399"/>
      <c r="E64" s="56"/>
      <c r="F64" s="14"/>
      <c r="I64" s="287"/>
    </row>
    <row r="65" spans="2:6" ht="16.5" hidden="1" customHeight="1" outlineLevel="1">
      <c r="B65" s="85" t="s">
        <v>294</v>
      </c>
      <c r="C65" s="100"/>
      <c r="D65" s="400">
        <f>IFERROR(C65/C64,0)</f>
        <v>0</v>
      </c>
      <c r="E65" s="56"/>
      <c r="F65" s="14"/>
    </row>
    <row r="66" spans="2:6" ht="15.5" hidden="1" outlineLevel="1">
      <c r="B66" s="83" t="s">
        <v>293</v>
      </c>
      <c r="C66" s="398">
        <f>+C64-C65</f>
        <v>0</v>
      </c>
      <c r="D66" s="399"/>
      <c r="E66" s="56"/>
      <c r="F66" s="14"/>
    </row>
    <row r="67" spans="2:6" ht="15.5" hidden="1" outlineLevel="1">
      <c r="B67" s="85" t="s">
        <v>319</v>
      </c>
      <c r="C67" s="100"/>
      <c r="D67" s="400">
        <f>IFERROR(C67/C66,0)</f>
        <v>0</v>
      </c>
      <c r="E67" s="56"/>
      <c r="F67" s="14"/>
    </row>
    <row r="68" spans="2:6" ht="15.5" hidden="1" outlineLevel="1">
      <c r="B68" s="93" t="s">
        <v>441</v>
      </c>
      <c r="C68" s="94">
        <f>+C66-C67</f>
        <v>0</v>
      </c>
      <c r="D68" s="401"/>
      <c r="E68" s="56"/>
      <c r="F68" s="14"/>
    </row>
    <row r="69" spans="2:6" ht="15.5" hidden="1" outlineLevel="1">
      <c r="B69" s="76"/>
      <c r="E69" s="56"/>
      <c r="F69" s="14"/>
    </row>
    <row r="70" spans="2:6" ht="15.75" hidden="1" customHeight="1" outlineLevel="1">
      <c r="B70" s="1046" t="s">
        <v>291</v>
      </c>
      <c r="C70" s="1047"/>
      <c r="D70" s="1047"/>
      <c r="E70" s="1048"/>
      <c r="F70" s="14"/>
    </row>
    <row r="71" spans="2:6" ht="15.5" hidden="1" outlineLevel="1">
      <c r="B71" s="76"/>
      <c r="E71" s="56"/>
      <c r="F71" s="14"/>
    </row>
    <row r="72" spans="2:6" ht="15.5" hidden="1" outlineLevel="1">
      <c r="B72" s="83" t="s">
        <v>447</v>
      </c>
      <c r="D72" s="14"/>
      <c r="E72" s="81"/>
      <c r="F72" s="14"/>
    </row>
    <row r="73" spans="2:6" ht="15.5" hidden="1" outlineLevel="1">
      <c r="B73" s="402" t="s">
        <v>316</v>
      </c>
      <c r="C73" s="392" t="s">
        <v>248</v>
      </c>
      <c r="D73" s="392" t="s">
        <v>847</v>
      </c>
      <c r="E73" s="81"/>
      <c r="F73" s="14"/>
    </row>
    <row r="74" spans="2:6" ht="15.5" hidden="1" outlineLevel="1">
      <c r="B74" s="393" t="s">
        <v>392</v>
      </c>
      <c r="C74" s="86"/>
      <c r="D74" s="403">
        <f>IF(C54="YEs",0,IF((C58-C59-C60-C65-C67)-(C74-C75-C76-C77-C78)&gt;0,(C58-C59-C60-C65-C67)-(C74-C75-C76-C77-C78),0))</f>
        <v>0</v>
      </c>
      <c r="E74" s="56"/>
    </row>
    <row r="75" spans="2:6" ht="15.65" hidden="1" customHeight="1" outlineLevel="1">
      <c r="B75" s="404" t="s">
        <v>481</v>
      </c>
      <c r="C75" s="100"/>
      <c r="D75" s="84"/>
      <c r="E75" s="405"/>
    </row>
    <row r="76" spans="2:6" ht="15.5" hidden="1" outlineLevel="1">
      <c r="B76" s="404" t="s">
        <v>482</v>
      </c>
      <c r="C76" s="100"/>
      <c r="D76" s="390" t="str">
        <f>IF(C74-C75-C76&lt;0,"Error Costs of Project’s is lower than costs covered by insurance and landlord"," ")</f>
        <v xml:space="preserve"> </v>
      </c>
      <c r="E76" s="405"/>
      <c r="F76" s="14"/>
    </row>
    <row r="77" spans="2:6" ht="15.5" hidden="1" outlineLevel="1">
      <c r="B77" s="404" t="s">
        <v>483</v>
      </c>
      <c r="C77" s="406">
        <f>IF((C74-C75-C76)&gt;C61,C65,(C74-C75-C76)*D65)</f>
        <v>0</v>
      </c>
      <c r="D77" s="390" t="str">
        <f>IF($C$74-$C$75-$C$76&gt;C64,"For OTEF reconciliation proration maximum is the amount approved", " ")</f>
        <v xml:space="preserve"> </v>
      </c>
      <c r="E77" s="405"/>
      <c r="F77" s="14"/>
    </row>
    <row r="78" spans="2:6" ht="15.5" hidden="1" outlineLevel="1">
      <c r="B78" s="404" t="s">
        <v>484</v>
      </c>
      <c r="C78" s="406">
        <f>IF((+C74-C75-C76-C77)&gt;C61-C65,C67,(+C74-C75-C76-C77)*D67)</f>
        <v>0</v>
      </c>
      <c r="D78" s="390" t="str">
        <f>IF($C$74-$C$75-$C$76&gt;C64,"For OTEF reconciliation cost sharing maximum is amount approved", " ")</f>
        <v xml:space="preserve"> </v>
      </c>
      <c r="E78" s="99"/>
      <c r="F78" s="14"/>
    </row>
    <row r="79" spans="2:6" ht="15.5" hidden="1" outlineLevel="1">
      <c r="B79" s="397" t="s">
        <v>451</v>
      </c>
      <c r="C79" s="407">
        <f>IF(C61&gt;C74-C75-C76,C74-C75-C76-C77-C78,C68)</f>
        <v>0</v>
      </c>
      <c r="D79" s="390" t="str">
        <f>IF(C74-C75-C76&gt;C61,"Total Project cost is higher than Approved Project cost, maximum is Total OTEF funding received", " ")</f>
        <v xml:space="preserve"> </v>
      </c>
      <c r="E79" s="99"/>
      <c r="F79" s="14"/>
    </row>
    <row r="80" spans="2:6" ht="15.5" hidden="1" outlineLevel="1">
      <c r="B80" s="83"/>
      <c r="C80" s="408"/>
      <c r="E80" s="56"/>
      <c r="F80" s="14"/>
    </row>
    <row r="81" spans="1:6" ht="15" hidden="1" customHeight="1" outlineLevel="1">
      <c r="B81" s="391" t="s">
        <v>352</v>
      </c>
      <c r="C81" s="409" t="s">
        <v>248</v>
      </c>
      <c r="D81" s="394"/>
      <c r="E81" s="81"/>
      <c r="F81" s="14"/>
    </row>
    <row r="82" spans="1:6" ht="15.5" hidden="1" outlineLevel="1">
      <c r="B82" s="410" t="s">
        <v>491</v>
      </c>
      <c r="C82" s="411">
        <f>IF(D74&lt;&gt;0,0,D82)</f>
        <v>0</v>
      </c>
      <c r="D82" s="412">
        <f>IF(C68&lt;(C74-C75-C76-C77-C78),C68,+C74-C75-C76-C77-C78)</f>
        <v>0</v>
      </c>
      <c r="E82" s="81"/>
      <c r="F82" s="14"/>
    </row>
    <row r="83" spans="1:6" ht="16" hidden="1" outlineLevel="1" thickBot="1">
      <c r="B83" s="413" t="s">
        <v>290</v>
      </c>
      <c r="C83" s="414">
        <f>IF(D74&lt;&gt;0,0,C68-C82)</f>
        <v>0</v>
      </c>
      <c r="D83" s="415"/>
      <c r="E83" s="82"/>
      <c r="F83" s="14"/>
    </row>
    <row r="84" spans="1:6" ht="15.5" hidden="1" outlineLevel="1">
      <c r="B84" s="14"/>
      <c r="C84" s="416"/>
      <c r="D84" s="417"/>
      <c r="E84" s="14"/>
      <c r="F84" s="14"/>
    </row>
    <row r="85" spans="1:6" ht="15.5" collapsed="1">
      <c r="A85" s="371" t="s">
        <v>818</v>
      </c>
      <c r="B85" s="87"/>
      <c r="C85" s="14"/>
      <c r="D85" s="14"/>
      <c r="E85" s="14"/>
      <c r="F85" s="14"/>
    </row>
    <row r="86" spans="1:6" ht="15.5">
      <c r="A86" s="87"/>
      <c r="B86" s="87"/>
      <c r="C86" s="14"/>
      <c r="D86" s="14"/>
      <c r="E86" s="14"/>
      <c r="F86" s="14"/>
    </row>
    <row r="87" spans="1:6" ht="23.5">
      <c r="B87" s="1040" t="s">
        <v>359</v>
      </c>
      <c r="C87" s="1040"/>
      <c r="D87" s="1040"/>
      <c r="E87" s="1040"/>
      <c r="F87" s="1040"/>
    </row>
    <row r="88" spans="1:6" ht="16" thickBot="1">
      <c r="B88" s="14"/>
      <c r="C88" s="14"/>
      <c r="D88" s="14"/>
      <c r="E88" s="14"/>
      <c r="F88" s="14"/>
    </row>
    <row r="89" spans="1:6" ht="17.25" customHeight="1" thickBot="1">
      <c r="B89" s="1052" t="s">
        <v>298</v>
      </c>
      <c r="C89" s="1053"/>
      <c r="D89" s="1053"/>
      <c r="E89" s="1053"/>
      <c r="F89" s="1054"/>
    </row>
    <row r="90" spans="1:6" ht="15.5">
      <c r="B90" s="14"/>
      <c r="C90" s="14"/>
      <c r="D90" s="14"/>
      <c r="E90" s="14"/>
      <c r="F90" s="14"/>
    </row>
    <row r="91" spans="1:6" ht="15.75" hidden="1" customHeight="1" outlineLevel="1">
      <c r="B91" s="1041" t="s">
        <v>831</v>
      </c>
      <c r="C91" s="1041"/>
      <c r="D91" s="1041"/>
      <c r="E91" s="1041"/>
      <c r="F91" s="1041"/>
    </row>
    <row r="92" spans="1:6" ht="15.75" hidden="1" customHeight="1" outlineLevel="1">
      <c r="B92" s="1041"/>
      <c r="C92" s="1041"/>
      <c r="D92" s="1041"/>
      <c r="E92" s="1041"/>
      <c r="F92" s="1041"/>
    </row>
    <row r="93" spans="1:6" ht="16" hidden="1" outlineLevel="1" thickBot="1">
      <c r="B93" s="14"/>
      <c r="C93" s="14"/>
      <c r="D93" s="14"/>
      <c r="E93" s="14"/>
      <c r="F93" s="14"/>
    </row>
    <row r="94" spans="1:6" ht="18.5" hidden="1" outlineLevel="1">
      <c r="B94" s="1043" t="s">
        <v>450</v>
      </c>
      <c r="C94" s="1044"/>
      <c r="D94" s="1044"/>
      <c r="E94" s="1045"/>
      <c r="F94" s="14"/>
    </row>
    <row r="95" spans="1:6" ht="15.5" hidden="1" outlineLevel="1">
      <c r="B95" s="78"/>
      <c r="C95" s="14"/>
      <c r="D95" s="14"/>
      <c r="E95" s="81"/>
      <c r="F95" s="14"/>
    </row>
    <row r="96" spans="1:6" ht="15.5" hidden="1" outlineLevel="1">
      <c r="B96" s="83" t="s">
        <v>449</v>
      </c>
      <c r="C96" s="14"/>
      <c r="D96" s="14"/>
      <c r="E96" s="81"/>
      <c r="F96" s="14"/>
    </row>
    <row r="97" spans="2:13" ht="15.5" hidden="1" outlineLevel="1">
      <c r="B97" s="92" t="s">
        <v>316</v>
      </c>
      <c r="C97" s="97" t="s">
        <v>248</v>
      </c>
      <c r="E97" s="81"/>
      <c r="F97" s="14"/>
    </row>
    <row r="98" spans="2:13" ht="15.5" hidden="1" outlineLevel="1">
      <c r="B98" s="83" t="s">
        <v>948</v>
      </c>
      <c r="C98" s="86"/>
      <c r="D98" s="394"/>
      <c r="E98" s="81"/>
      <c r="F98" s="14"/>
    </row>
    <row r="99" spans="2:13" ht="8.5" hidden="1" customHeight="1" outlineLevel="1">
      <c r="B99" s="920" t="s">
        <v>295</v>
      </c>
      <c r="C99" s="921"/>
      <c r="D99" s="394"/>
      <c r="E99" s="81"/>
      <c r="F99" s="14"/>
    </row>
    <row r="100" spans="2:13" ht="5.5" hidden="1" customHeight="1" outlineLevel="1">
      <c r="B100" s="920" t="s">
        <v>296</v>
      </c>
      <c r="C100" s="921"/>
      <c r="E100" s="81"/>
      <c r="F100" s="14"/>
    </row>
    <row r="101" spans="2:13" ht="15.5" hidden="1" outlineLevel="1">
      <c r="B101" s="93" t="s">
        <v>317</v>
      </c>
      <c r="C101" s="418">
        <f>+C98-C99-C100</f>
        <v>0</v>
      </c>
      <c r="E101" s="81"/>
      <c r="F101" s="14"/>
    </row>
    <row r="102" spans="2:13" ht="15.5" hidden="1" outlineLevel="1">
      <c r="B102" s="83"/>
      <c r="C102" s="408"/>
      <c r="D102" s="394"/>
      <c r="E102" s="81"/>
      <c r="F102" s="14"/>
    </row>
    <row r="103" spans="2:13" ht="15.5" hidden="1" outlineLevel="1">
      <c r="B103" s="92" t="s">
        <v>318</v>
      </c>
      <c r="C103" s="97" t="s">
        <v>248</v>
      </c>
      <c r="D103" s="392" t="s">
        <v>289</v>
      </c>
      <c r="E103" s="81"/>
      <c r="F103" s="14"/>
    </row>
    <row r="104" spans="2:13" ht="15.5" hidden="1" outlineLevel="1">
      <c r="B104" s="83" t="s">
        <v>317</v>
      </c>
      <c r="C104" s="398">
        <f>C101</f>
        <v>0</v>
      </c>
      <c r="D104" s="399"/>
      <c r="E104" s="81"/>
      <c r="F104" s="14"/>
    </row>
    <row r="105" spans="2:13" ht="15.5" hidden="1" outlineLevel="1">
      <c r="B105" s="85" t="s">
        <v>294</v>
      </c>
      <c r="C105" s="100"/>
      <c r="D105" s="400">
        <f>IFERROR(C105/C101,0)</f>
        <v>0</v>
      </c>
      <c r="E105" s="81"/>
      <c r="F105" s="14"/>
    </row>
    <row r="106" spans="2:13" ht="15.5" hidden="1" outlineLevel="1">
      <c r="B106" s="83" t="s">
        <v>293</v>
      </c>
      <c r="C106" s="398">
        <f>C104-C105</f>
        <v>0</v>
      </c>
      <c r="D106" s="399"/>
      <c r="E106" s="81"/>
      <c r="F106" s="14"/>
    </row>
    <row r="107" spans="2:13" ht="15.5" hidden="1" outlineLevel="1">
      <c r="B107" s="85" t="s">
        <v>319</v>
      </c>
      <c r="C107" s="100"/>
      <c r="D107" s="400">
        <f>IFERROR(C107/C106,0)</f>
        <v>0</v>
      </c>
      <c r="E107" s="81"/>
      <c r="F107" s="14"/>
    </row>
    <row r="108" spans="2:13" ht="15.5" hidden="1" outlineLevel="1">
      <c r="B108" s="93" t="s">
        <v>441</v>
      </c>
      <c r="C108" s="94">
        <f>C106-C107</f>
        <v>0</v>
      </c>
      <c r="D108" s="401"/>
      <c r="E108" s="81"/>
      <c r="F108" s="14"/>
    </row>
    <row r="109" spans="2:13" ht="15.5" hidden="1" outlineLevel="1">
      <c r="B109" s="78"/>
      <c r="C109" s="14"/>
      <c r="D109" s="14"/>
      <c r="E109" s="81"/>
      <c r="F109" s="14"/>
      <c r="M109" s="553"/>
    </row>
    <row r="110" spans="2:13" ht="18.5" hidden="1" outlineLevel="1">
      <c r="B110" s="1046" t="s">
        <v>291</v>
      </c>
      <c r="C110" s="1047"/>
      <c r="D110" s="1047"/>
      <c r="E110" s="1048"/>
      <c r="F110" s="14"/>
      <c r="J110" s="57"/>
    </row>
    <row r="111" spans="2:13" ht="15.5" hidden="1" outlineLevel="1">
      <c r="B111" s="83"/>
      <c r="D111" s="14"/>
      <c r="E111" s="81"/>
      <c r="F111" s="14"/>
      <c r="G111" s="57"/>
      <c r="H111" s="57"/>
      <c r="I111" s="57"/>
      <c r="M111" s="553"/>
    </row>
    <row r="112" spans="2:13" ht="15.5" hidden="1" outlineLevel="1">
      <c r="B112" s="83" t="s">
        <v>446</v>
      </c>
      <c r="D112" s="14"/>
      <c r="E112" s="81"/>
      <c r="F112" s="14"/>
      <c r="J112" s="554"/>
      <c r="M112" s="553"/>
    </row>
    <row r="113" spans="1:14" ht="15.5" hidden="1" outlineLevel="1">
      <c r="B113" s="92" t="s">
        <v>316</v>
      </c>
      <c r="C113" s="97" t="s">
        <v>248</v>
      </c>
      <c r="D113" s="394"/>
      <c r="E113" s="81"/>
      <c r="F113" s="14"/>
      <c r="G113" s="8"/>
      <c r="J113" s="553"/>
      <c r="M113" s="553"/>
    </row>
    <row r="114" spans="1:14" ht="15.5" hidden="1" outlineLevel="1">
      <c r="B114" s="83" t="s">
        <v>947</v>
      </c>
      <c r="C114" s="86"/>
      <c r="E114" s="81"/>
      <c r="F114" s="14"/>
      <c r="J114" s="553"/>
      <c r="N114" s="57"/>
    </row>
    <row r="115" spans="1:14" ht="7" hidden="1" customHeight="1" outlineLevel="1">
      <c r="B115" s="920" t="s">
        <v>481</v>
      </c>
      <c r="C115" s="921"/>
      <c r="E115" s="81"/>
      <c r="F115" s="14"/>
      <c r="J115" s="553"/>
    </row>
    <row r="116" spans="1:14" ht="5.5" hidden="1" customHeight="1" outlineLevel="1">
      <c r="B116" s="920" t="s">
        <v>482</v>
      </c>
      <c r="C116" s="921"/>
      <c r="D116" s="390" t="str">
        <f>IF(C114-C115-C116&lt;0,"Error: Costs of Project’s is lower than costs covered by insurance and landlord"," ")</f>
        <v xml:space="preserve"> </v>
      </c>
      <c r="E116" s="81"/>
      <c r="F116" s="14"/>
      <c r="J116" s="555"/>
    </row>
    <row r="117" spans="1:14" ht="15.5" hidden="1" outlineLevel="1">
      <c r="B117" s="85" t="s">
        <v>483</v>
      </c>
      <c r="C117" s="406">
        <f>IF((C114-C115-C116)&gt;C106,C105,(C114-C115-C116)*D105)</f>
        <v>0</v>
      </c>
      <c r="D117" s="390" t="str">
        <f>IF(C114-C115-C116&gt;C101,"For OTEF reconciliation proration maximum is the amount approved", " ")</f>
        <v xml:space="preserve"> </v>
      </c>
      <c r="E117" s="419"/>
      <c r="F117" s="14"/>
    </row>
    <row r="118" spans="1:14" ht="15.5" hidden="1" outlineLevel="1">
      <c r="B118" s="85" t="s">
        <v>484</v>
      </c>
      <c r="C118" s="406">
        <f>IF((C114-C115-C116)&gt;C101,C107,(+C114-C115-C116-C117)*D107)</f>
        <v>0</v>
      </c>
      <c r="D118" s="390" t="str">
        <f>IF(C114-C115-C116&gt;C101,"For OTEF reconciliation cost sharing maximum is amount approved", " ")</f>
        <v xml:space="preserve"> </v>
      </c>
      <c r="E118" s="81"/>
      <c r="F118" s="14"/>
    </row>
    <row r="119" spans="1:14" ht="15.5" hidden="1" outlineLevel="1">
      <c r="B119" s="93" t="s">
        <v>451</v>
      </c>
      <c r="C119" s="418">
        <f>IF(C106&lt;(C114-C115-C116),C108,+C114-C115-C116-C117-C118)</f>
        <v>0</v>
      </c>
      <c r="D119" s="390" t="str">
        <f>IF(C114-C115-C116&gt;C101,"Total Project cost is higher than Approved Project cost, max eligible cost is Total OTEF funding received", " ")</f>
        <v xml:space="preserve"> </v>
      </c>
      <c r="E119" s="81"/>
      <c r="F119" s="14"/>
    </row>
    <row r="120" spans="1:14" ht="16" hidden="1" outlineLevel="1" thickBot="1">
      <c r="B120" s="311"/>
      <c r="C120" s="312"/>
      <c r="D120" s="312"/>
      <c r="E120" s="420"/>
      <c r="F120" s="14"/>
    </row>
    <row r="121" spans="1:14" ht="15.5" hidden="1" outlineLevel="1">
      <c r="B121" s="14"/>
      <c r="C121" s="14"/>
      <c r="D121" s="14"/>
      <c r="E121" s="14"/>
      <c r="F121" s="14"/>
    </row>
    <row r="122" spans="1:14" ht="15.5" collapsed="1">
      <c r="A122" s="371" t="s">
        <v>818</v>
      </c>
      <c r="B122" s="87"/>
      <c r="C122" s="14"/>
      <c r="D122" s="14"/>
      <c r="E122" s="14"/>
      <c r="F122" s="14"/>
    </row>
    <row r="123" spans="1:14" ht="15.5">
      <c r="A123" s="371"/>
      <c r="B123" s="87"/>
      <c r="C123" s="14"/>
      <c r="D123" s="14"/>
      <c r="E123" s="14"/>
      <c r="F123" s="14"/>
    </row>
    <row r="124" spans="1:14" ht="23.5">
      <c r="B124" s="1040" t="s">
        <v>350</v>
      </c>
      <c r="C124" s="1040"/>
      <c r="D124" s="1040"/>
      <c r="E124" s="1040"/>
      <c r="F124" s="1040"/>
    </row>
    <row r="126" spans="1:14" ht="22" hidden="1" customHeight="1" outlineLevel="1">
      <c r="B126" s="87" t="s">
        <v>817</v>
      </c>
      <c r="C126" s="372"/>
      <c r="D126" s="372"/>
    </row>
    <row r="127" spans="1:14" hidden="1" outlineLevel="1">
      <c r="B127" s="1041"/>
      <c r="C127" s="1041"/>
      <c r="D127" s="1041"/>
      <c r="E127" s="1041"/>
      <c r="F127" s="1058" t="s">
        <v>454</v>
      </c>
      <c r="G127" s="1058"/>
      <c r="H127" s="1058"/>
    </row>
    <row r="128" spans="1:14" ht="18.75" hidden="1" customHeight="1" outlineLevel="1">
      <c r="B128" s="1041"/>
      <c r="C128" s="1041"/>
      <c r="D128" s="1041"/>
      <c r="E128" s="1041"/>
      <c r="F128" s="1058"/>
      <c r="G128" s="1058"/>
      <c r="H128" s="1058"/>
    </row>
    <row r="129" spans="1:8" ht="55.5" hidden="1" outlineLevel="1">
      <c r="B129" s="373" t="s">
        <v>492</v>
      </c>
      <c r="C129" s="373" t="s">
        <v>225</v>
      </c>
      <c r="D129" s="374" t="s">
        <v>439</v>
      </c>
      <c r="E129" s="373" t="s">
        <v>383</v>
      </c>
      <c r="F129" s="373" t="s">
        <v>386</v>
      </c>
      <c r="G129" s="373" t="s">
        <v>387</v>
      </c>
      <c r="H129" s="377" t="s">
        <v>480</v>
      </c>
    </row>
    <row r="130" spans="1:8" ht="15.5" hidden="1" outlineLevel="1">
      <c r="B130" s="421" t="s">
        <v>495</v>
      </c>
      <c r="C130" s="435"/>
      <c r="D130" s="436"/>
      <c r="E130" s="379">
        <f>+C130-D130</f>
        <v>0</v>
      </c>
      <c r="F130" s="435"/>
      <c r="G130" s="422">
        <f>+D130-F130</f>
        <v>0</v>
      </c>
      <c r="H130" s="423">
        <f>+F130+G130</f>
        <v>0</v>
      </c>
    </row>
    <row r="131" spans="1:8" ht="15.5" hidden="1" outlineLevel="1">
      <c r="B131" s="424"/>
      <c r="C131" s="14"/>
      <c r="D131" s="390"/>
      <c r="E131" s="14"/>
      <c r="F131" s="390"/>
    </row>
    <row r="132" spans="1:8" ht="15.5" collapsed="1">
      <c r="A132" s="371" t="s">
        <v>818</v>
      </c>
      <c r="B132" s="424"/>
      <c r="C132" s="14"/>
      <c r="D132" s="390"/>
      <c r="E132" s="14"/>
      <c r="F132" s="390"/>
    </row>
    <row r="133" spans="1:8" ht="15.5">
      <c r="A133" s="371"/>
      <c r="B133" s="424"/>
      <c r="C133" s="14"/>
      <c r="D133" s="390"/>
      <c r="E133" s="14"/>
      <c r="F133" s="390"/>
    </row>
    <row r="134" spans="1:8" ht="23.5">
      <c r="B134" s="1040" t="s">
        <v>820</v>
      </c>
      <c r="C134" s="1040"/>
      <c r="D134" s="1040"/>
      <c r="E134" s="1040"/>
      <c r="F134" s="1040"/>
    </row>
    <row r="135" spans="1:8" ht="15.5">
      <c r="B135" s="96"/>
      <c r="C135" s="14"/>
      <c r="D135" s="14"/>
      <c r="E135" s="14"/>
      <c r="F135" s="14"/>
    </row>
    <row r="136" spans="1:8" ht="15.5" hidden="1" outlineLevel="1">
      <c r="B136" s="87" t="s">
        <v>881</v>
      </c>
      <c r="C136" s="14"/>
      <c r="D136" s="14"/>
      <c r="E136" s="14"/>
      <c r="F136" s="14"/>
    </row>
    <row r="137" spans="1:8" ht="15.5" hidden="1" outlineLevel="1">
      <c r="B137" s="87"/>
      <c r="C137" s="14"/>
      <c r="D137" s="14"/>
      <c r="E137" s="14"/>
      <c r="F137" s="14"/>
    </row>
    <row r="138" spans="1:8" ht="15.5" hidden="1" outlineLevel="1">
      <c r="B138" s="87" t="s">
        <v>427</v>
      </c>
      <c r="C138" s="439"/>
      <c r="D138" s="14"/>
      <c r="E138" s="14"/>
      <c r="F138" s="14"/>
    </row>
    <row r="139" spans="1:8" ht="15.5" hidden="1" outlineLevel="1">
      <c r="B139" s="77"/>
      <c r="C139" s="14"/>
      <c r="D139" s="14"/>
      <c r="E139" s="14"/>
      <c r="F139" s="14"/>
    </row>
    <row r="140" spans="1:8" ht="18.5" hidden="1" outlineLevel="1">
      <c r="B140" s="425" t="s">
        <v>304</v>
      </c>
      <c r="C140" s="373" t="s">
        <v>877</v>
      </c>
      <c r="D140" s="373" t="s">
        <v>407</v>
      </c>
      <c r="E140" s="373" t="s">
        <v>383</v>
      </c>
      <c r="F140" s="373" t="s">
        <v>847</v>
      </c>
      <c r="G140" s="426"/>
    </row>
    <row r="141" spans="1:8" ht="18.5" hidden="1" outlineLevel="1">
      <c r="B141" s="427" t="s">
        <v>325</v>
      </c>
      <c r="C141" s="440"/>
      <c r="D141" s="440"/>
      <c r="E141" s="428">
        <f>IF(C138="Yes",IF(C141-D141&lt;0,0,C141-D141),0)</f>
        <v>0</v>
      </c>
      <c r="F141" s="429">
        <f>IF((C141-D141)&lt;0,0,IF(C138="No",C141-D141,0))</f>
        <v>0</v>
      </c>
      <c r="G141" s="107"/>
    </row>
    <row r="142" spans="1:8" ht="18.5" hidden="1" outlineLevel="1">
      <c r="B142" s="430"/>
      <c r="E142" s="431"/>
      <c r="F142" s="432"/>
      <c r="G142" s="107"/>
    </row>
    <row r="143" spans="1:8" ht="15.5" collapsed="1">
      <c r="A143" s="371" t="s">
        <v>818</v>
      </c>
      <c r="B143" s="433"/>
      <c r="C143" s="14"/>
      <c r="D143" s="14"/>
      <c r="E143" s="14"/>
      <c r="F143" s="14"/>
    </row>
    <row r="144" spans="1:8" ht="15.5" collapsed="1">
      <c r="C144" s="14"/>
      <c r="D144" s="14"/>
      <c r="E144" s="14"/>
      <c r="F144" s="14"/>
    </row>
    <row r="145" spans="1:6" ht="23.5">
      <c r="B145" s="1040" t="s">
        <v>464</v>
      </c>
      <c r="C145" s="1040"/>
      <c r="D145" s="1040"/>
      <c r="E145" s="1040"/>
      <c r="F145" s="1040"/>
    </row>
    <row r="146" spans="1:6" ht="15.5">
      <c r="C146" s="14"/>
      <c r="D146" s="14"/>
      <c r="E146" s="14"/>
      <c r="F146" s="14"/>
    </row>
    <row r="147" spans="1:6" ht="15.5" hidden="1" outlineLevel="1">
      <c r="B147" s="87" t="s">
        <v>493</v>
      </c>
      <c r="C147" s="14"/>
      <c r="D147" s="14"/>
      <c r="E147" s="14"/>
      <c r="F147" s="14"/>
    </row>
    <row r="148" spans="1:6" ht="15.5" hidden="1" outlineLevel="1" collapsed="1">
      <c r="B148" s="14"/>
      <c r="C148" s="14"/>
      <c r="D148" s="14"/>
      <c r="E148" s="14"/>
      <c r="F148" s="14"/>
    </row>
    <row r="149" spans="1:6" ht="55.5" hidden="1" outlineLevel="1">
      <c r="B149" s="373" t="s">
        <v>440</v>
      </c>
      <c r="C149" s="374" t="s">
        <v>434</v>
      </c>
      <c r="D149" s="374" t="s">
        <v>439</v>
      </c>
      <c r="E149" s="373" t="s">
        <v>383</v>
      </c>
    </row>
    <row r="150" spans="1:6" ht="18.5" hidden="1" outlineLevel="1">
      <c r="B150" s="378" t="s">
        <v>87</v>
      </c>
      <c r="C150" s="435"/>
      <c r="D150" s="441"/>
      <c r="E150" s="434">
        <f>IF(C150-D150&lt;0,0,C150-D150)</f>
        <v>0</v>
      </c>
      <c r="F150" s="107" t="str">
        <f>IF(E150&lt;0,"Recovery can not be lower than awarded amount", " ")</f>
        <v xml:space="preserve"> </v>
      </c>
    </row>
    <row r="151" spans="1:6" ht="15.5" hidden="1" outlineLevel="1" collapsed="1">
      <c r="B151" s="14"/>
      <c r="C151" s="14"/>
      <c r="D151" s="14" t="s">
        <v>468</v>
      </c>
      <c r="E151" s="14"/>
      <c r="F151" s="14"/>
    </row>
    <row r="152" spans="1:6" ht="15.5" collapsed="1">
      <c r="A152" s="371" t="s">
        <v>818</v>
      </c>
      <c r="C152" s="14"/>
      <c r="D152" s="14"/>
      <c r="E152" s="14"/>
      <c r="F152" s="14"/>
    </row>
    <row r="153" spans="1:6" ht="15.5">
      <c r="B153" s="14"/>
      <c r="C153" s="14"/>
      <c r="D153" s="14"/>
      <c r="E153" s="14"/>
      <c r="F153" s="14"/>
    </row>
    <row r="154" spans="1:6" ht="15.5">
      <c r="B154" s="14"/>
      <c r="C154" s="14"/>
      <c r="D154" s="14"/>
      <c r="E154" s="14"/>
      <c r="F154" s="14"/>
    </row>
    <row r="155" spans="1:6" ht="15.5">
      <c r="B155" s="14"/>
      <c r="C155" s="14"/>
      <c r="D155" s="14"/>
      <c r="E155" s="14"/>
      <c r="F155" s="14"/>
    </row>
    <row r="156" spans="1:6" ht="15.5">
      <c r="B156" s="14"/>
      <c r="C156" s="14"/>
      <c r="D156" s="14"/>
      <c r="E156" s="14"/>
      <c r="F156" s="14"/>
    </row>
    <row r="195" spans="1:4">
      <c r="A195" s="330"/>
      <c r="B195" s="330"/>
      <c r="C195" s="330"/>
      <c r="D195" s="330"/>
    </row>
    <row r="196" spans="1:4">
      <c r="A196" s="330"/>
      <c r="B196" s="330"/>
      <c r="C196" s="330"/>
      <c r="D196" s="330"/>
    </row>
    <row r="197" spans="1:4" ht="15.5">
      <c r="A197" s="330"/>
      <c r="B197" s="367" t="s">
        <v>130</v>
      </c>
      <c r="C197" s="330" t="s">
        <v>393</v>
      </c>
      <c r="D197" s="330"/>
    </row>
    <row r="198" spans="1:4" ht="15.5">
      <c r="A198" s="330"/>
      <c r="B198" s="367" t="s">
        <v>115</v>
      </c>
      <c r="C198" s="330"/>
      <c r="D198" s="330"/>
    </row>
    <row r="199" spans="1:4">
      <c r="A199" s="330"/>
      <c r="B199" s="330"/>
      <c r="C199" s="330"/>
      <c r="D199" s="330"/>
    </row>
    <row r="200" spans="1:4">
      <c r="A200" s="330"/>
      <c r="B200" s="330"/>
      <c r="C200" s="330"/>
      <c r="D200" s="330"/>
    </row>
    <row r="201" spans="1:4">
      <c r="A201" s="330"/>
      <c r="B201" s="330"/>
      <c r="C201" s="330"/>
      <c r="D201" s="330"/>
    </row>
    <row r="202" spans="1:4">
      <c r="A202" s="330"/>
      <c r="B202" s="330"/>
      <c r="C202" s="330"/>
      <c r="D202" s="330"/>
    </row>
  </sheetData>
  <sheetProtection algorithmName="SHA-512" hashValue="wZtxxUU8jSqE4ghXW2GhgzjXHwnTu8MYVUA8BnuUdnuQRuyPNhBpDaYA2QzBEZxqb01hECyRJAvbjFTrW60uPg==" saltValue="1IPuc5gaF/szg/hPw6Ktig==" spinCount="100000" sheet="1" objects="1" scenarios="1" formatRows="0"/>
  <mergeCells count="27">
    <mergeCell ref="G35:I35"/>
    <mergeCell ref="F127:H128"/>
    <mergeCell ref="B25:F26"/>
    <mergeCell ref="B1:F1"/>
    <mergeCell ref="B22:F23"/>
    <mergeCell ref="B124:F124"/>
    <mergeCell ref="B2:F2"/>
    <mergeCell ref="B44:F44"/>
    <mergeCell ref="B5:F5"/>
    <mergeCell ref="B19:F20"/>
    <mergeCell ref="B87:F87"/>
    <mergeCell ref="B7:F9"/>
    <mergeCell ref="B11:F13"/>
    <mergeCell ref="B15:F17"/>
    <mergeCell ref="B28:F28"/>
    <mergeCell ref="B91:F92"/>
    <mergeCell ref="B145:F145"/>
    <mergeCell ref="B134:F134"/>
    <mergeCell ref="B127:E128"/>
    <mergeCell ref="B34:F35"/>
    <mergeCell ref="B52:E52"/>
    <mergeCell ref="B70:E70"/>
    <mergeCell ref="B47:F50"/>
    <mergeCell ref="B94:E94"/>
    <mergeCell ref="B110:E110"/>
    <mergeCell ref="B46:F46"/>
    <mergeCell ref="B89:F89"/>
  </mergeCells>
  <phoneticPr fontId="5" type="noConversion"/>
  <conditionalFormatting sqref="E130">
    <cfRule type="cellIs" dxfId="40" priority="3" operator="lessThan">
      <formula>0</formula>
    </cfRule>
  </conditionalFormatting>
  <conditionalFormatting sqref="F37:F39">
    <cfRule type="cellIs" dxfId="39" priority="2" operator="lessThan">
      <formula>0</formula>
    </cfRule>
  </conditionalFormatting>
  <conditionalFormatting sqref="G130:H130">
    <cfRule type="cellIs" dxfId="38" priority="4" operator="lessThan">
      <formula>0</formula>
    </cfRule>
  </conditionalFormatting>
  <conditionalFormatting sqref="H37:H39">
    <cfRule type="cellIs" dxfId="37" priority="1" operator="lessThan">
      <formula>0</formula>
    </cfRule>
  </conditionalFormatting>
  <dataValidations xWindow="465" yWindow="379" count="5">
    <dataValidation type="list" allowBlank="1" showInputMessage="1" showErrorMessage="1" sqref="C54 C138" xr:uid="{2C21C7BA-62B4-4C90-BB92-EAE8A8E8AA2D}">
      <formula1>$B$197:$B$198</formula1>
    </dataValidation>
    <dataValidation allowBlank="1" showInputMessage="1" showErrorMessage="1" prompt="Deferred Revenue can't be negative" sqref="D74" xr:uid="{138B6590-53C6-49C2-A883-D6D39B72181D}"/>
    <dataValidation type="decimal" allowBlank="1" showInputMessage="1" showErrorMessage="1" error="Enter amount as a positive number." prompt="Enter amount as a positive number." sqref="C58:C60 C65 C67 C74:C76" xr:uid="{C2AC996F-C9F9-434E-BE11-9A1CDF14AB7E}">
      <formula1>0</formula1>
      <formula2>1E+26</formula2>
    </dataValidation>
    <dataValidation type="decimal" allowBlank="1" showInputMessage="1" showErrorMessage="1" error="Enter amount as a positive number." prompt="Enter amount as a positive number." sqref="I113 C98 C105 C107 C114" xr:uid="{9121DC51-9809-40A6-8031-EAD4E4350721}">
      <formula1>0</formula1>
      <formula2>1E+23</formula2>
    </dataValidation>
    <dataValidation type="decimal" allowBlank="1" showInputMessage="1" showErrorMessage="1" error="Enter amount as a positive number." sqref="C99 C100 C115 C116" xr:uid="{A3AF5480-DBEC-4DEF-94F2-70E0E14890F2}">
      <formula1>0</formula1>
      <formula2>1E+23</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04AF5-0E4C-457E-8A28-E973EB93867E}">
  <sheetPr>
    <tabColor theme="9" tint="0.59999389629810485"/>
    <pageSetUpPr fitToPage="1"/>
  </sheetPr>
  <dimension ref="B1:I48"/>
  <sheetViews>
    <sheetView showGridLines="0" zoomScale="85" zoomScaleNormal="85" workbookViewId="0">
      <selection activeCell="E9" sqref="E9"/>
    </sheetView>
  </sheetViews>
  <sheetFormatPr defaultColWidth="9.26953125" defaultRowHeight="14.5"/>
  <cols>
    <col min="1" max="1" width="3.1796875" style="904" customWidth="1"/>
    <col min="2" max="2" width="6" style="904" customWidth="1"/>
    <col min="3" max="3" width="60" style="904" customWidth="1"/>
    <col min="4" max="4" width="70.6328125" style="904" customWidth="1"/>
    <col min="5" max="5" width="38.26953125" style="904" customWidth="1"/>
    <col min="6" max="6" width="7.54296875" style="904" customWidth="1"/>
    <col min="7" max="7" width="16.26953125" style="904" customWidth="1"/>
    <col min="8" max="8" width="12.1796875" style="904" customWidth="1"/>
    <col min="9" max="16384" width="9.26953125" style="904"/>
  </cols>
  <sheetData>
    <row r="1" spans="2:8" ht="15" thickBot="1"/>
    <row r="2" spans="2:8" ht="23.5">
      <c r="C2" s="1075" t="s">
        <v>938</v>
      </c>
      <c r="D2" s="1076"/>
      <c r="E2" s="1077"/>
      <c r="G2" s="112" t="s">
        <v>109</v>
      </c>
      <c r="H2" s="113" t="str">
        <f>IF('A1. Identification'!$D$13=0, " ",'A1. Identification'!$D$13)</f>
        <v xml:space="preserve"> </v>
      </c>
    </row>
    <row r="3" spans="2:8" ht="24" thickBot="1">
      <c r="C3" s="1078" t="str">
        <f>IF('A1. Identification'!D7=0, "2025 FAIR, CWELCC and OTEF Reconciliation for Single Site Operators",'A1. Identification'!D7)</f>
        <v>2025 FAIR, CWELCC and OTEF Reconciliation for Single Site Operators</v>
      </c>
      <c r="D3" s="1079"/>
      <c r="E3" s="1080"/>
      <c r="G3" s="112" t="s">
        <v>303</v>
      </c>
      <c r="H3" s="113" t="str">
        <f>'A1. Identification'!L2</f>
        <v>Please enter Ministry licence number on tab A6 row 7</v>
      </c>
    </row>
    <row r="4" spans="2:8" ht="15" thickBot="1"/>
    <row r="5" spans="2:8" ht="57" customHeight="1" thickTop="1" thickBot="1">
      <c r="C5" s="1072" t="s">
        <v>916</v>
      </c>
      <c r="D5" s="1073"/>
      <c r="E5" s="1074"/>
    </row>
    <row r="6" spans="2:8" ht="15.5" thickTop="1" thickBot="1">
      <c r="E6" s="905"/>
    </row>
    <row r="7" spans="2:8" ht="24.5" thickTop="1" thickBot="1">
      <c r="C7" s="1069" t="s">
        <v>882</v>
      </c>
      <c r="D7" s="1070"/>
      <c r="E7" s="1071"/>
    </row>
    <row r="8" spans="2:8" ht="17.5" thickBot="1">
      <c r="C8" s="906" t="s">
        <v>883</v>
      </c>
      <c r="D8" s="907" t="s">
        <v>896</v>
      </c>
      <c r="E8" s="908" t="s">
        <v>377</v>
      </c>
    </row>
    <row r="9" spans="2:8" ht="32.65" customHeight="1" thickBot="1">
      <c r="B9" s="909" t="s">
        <v>924</v>
      </c>
      <c r="C9" s="910" t="s">
        <v>917</v>
      </c>
      <c r="D9" s="911" t="s">
        <v>918</v>
      </c>
      <c r="E9" s="560"/>
    </row>
    <row r="10" spans="2:8" ht="32.65" customHeight="1" thickBot="1">
      <c r="B10" s="912" t="s">
        <v>925</v>
      </c>
      <c r="C10" s="910" t="s">
        <v>919</v>
      </c>
      <c r="D10" s="911" t="s">
        <v>920</v>
      </c>
      <c r="E10" s="560"/>
    </row>
    <row r="11" spans="2:8" ht="15" customHeight="1" thickBot="1"/>
    <row r="12" spans="2:8" ht="23.65" customHeight="1" thickTop="1" thickBot="1">
      <c r="C12" s="1069" t="s">
        <v>884</v>
      </c>
      <c r="D12" s="1070"/>
      <c r="E12" s="1071"/>
    </row>
    <row r="13" spans="2:8" ht="17.149999999999999" customHeight="1" thickBot="1">
      <c r="C13" s="906" t="s">
        <v>883</v>
      </c>
      <c r="D13" s="907" t="s">
        <v>896</v>
      </c>
      <c r="E13" s="908" t="s">
        <v>377</v>
      </c>
    </row>
    <row r="14" spans="2:8" ht="62.5" thickBot="1">
      <c r="B14" s="909" t="s">
        <v>926</v>
      </c>
      <c r="C14" s="910" t="s">
        <v>885</v>
      </c>
      <c r="D14" s="911" t="s">
        <v>410</v>
      </c>
      <c r="E14" s="558"/>
    </row>
    <row r="15" spans="2:8" ht="78" thickBot="1">
      <c r="B15" s="912" t="s">
        <v>927</v>
      </c>
      <c r="C15" s="910" t="s">
        <v>921</v>
      </c>
      <c r="D15" s="911" t="s">
        <v>411</v>
      </c>
      <c r="E15" s="559"/>
    </row>
    <row r="16" spans="2:8" ht="15" thickBot="1"/>
    <row r="17" spans="2:7" ht="24.5" thickTop="1" thickBot="1">
      <c r="C17" s="1069" t="s">
        <v>886</v>
      </c>
      <c r="D17" s="1070"/>
      <c r="E17" s="1071"/>
    </row>
    <row r="18" spans="2:7" ht="17.5" thickBot="1">
      <c r="C18" s="906" t="s">
        <v>883</v>
      </c>
      <c r="D18" s="907" t="s">
        <v>896</v>
      </c>
      <c r="E18" s="908" t="s">
        <v>377</v>
      </c>
    </row>
    <row r="19" spans="2:7" ht="17.25" customHeight="1" thickBot="1">
      <c r="B19" s="909" t="s">
        <v>928</v>
      </c>
      <c r="C19" s="910" t="s">
        <v>887</v>
      </c>
      <c r="D19" s="911" t="s">
        <v>412</v>
      </c>
      <c r="E19" s="558"/>
    </row>
    <row r="20" spans="2:7" ht="31.5" thickBot="1">
      <c r="B20" s="912" t="s">
        <v>929</v>
      </c>
      <c r="C20" s="910" t="s">
        <v>888</v>
      </c>
      <c r="D20" s="911" t="s">
        <v>889</v>
      </c>
      <c r="E20" s="559"/>
    </row>
    <row r="21" spans="2:7" ht="15" thickBot="1"/>
    <row r="22" spans="2:7" ht="24.5" thickTop="1" thickBot="1">
      <c r="C22" s="1069" t="s">
        <v>890</v>
      </c>
      <c r="D22" s="1070"/>
      <c r="E22" s="1071"/>
    </row>
    <row r="23" spans="2:7" ht="17.5" thickBot="1">
      <c r="C23" s="906" t="s">
        <v>883</v>
      </c>
      <c r="D23" s="907" t="s">
        <v>896</v>
      </c>
      <c r="E23" s="908" t="s">
        <v>377</v>
      </c>
    </row>
    <row r="24" spans="2:7" ht="16" hidden="1" thickBot="1">
      <c r="B24" s="909" t="s">
        <v>930</v>
      </c>
      <c r="C24" s="910" t="s">
        <v>891</v>
      </c>
      <c r="D24" s="911" t="s">
        <v>892</v>
      </c>
      <c r="E24" s="558">
        <f>'A6. Operations'!E98</f>
        <v>0</v>
      </c>
      <c r="G24" s="919" t="s">
        <v>950</v>
      </c>
    </row>
    <row r="25" spans="2:7" ht="47" thickBot="1">
      <c r="B25" s="909" t="s">
        <v>931</v>
      </c>
      <c r="C25" s="918" t="s">
        <v>893</v>
      </c>
      <c r="D25" s="911" t="s">
        <v>894</v>
      </c>
      <c r="E25" s="559"/>
    </row>
    <row r="27" spans="2:7" ht="15" thickBot="1"/>
    <row r="28" spans="2:7" ht="24.5" thickTop="1" thickBot="1">
      <c r="C28" s="1069" t="s">
        <v>895</v>
      </c>
      <c r="D28" s="1070"/>
      <c r="E28" s="1071"/>
    </row>
    <row r="29" spans="2:7" ht="17.5" thickBot="1">
      <c r="C29" s="906" t="s">
        <v>883</v>
      </c>
      <c r="D29" s="907" t="s">
        <v>896</v>
      </c>
      <c r="E29" s="908" t="s">
        <v>377</v>
      </c>
    </row>
    <row r="30" spans="2:7" ht="47" thickBot="1">
      <c r="B30" s="909" t="s">
        <v>932</v>
      </c>
      <c r="C30" s="910" t="s">
        <v>922</v>
      </c>
      <c r="D30" s="911" t="s">
        <v>923</v>
      </c>
      <c r="E30" s="559"/>
    </row>
    <row r="31" spans="2:7" ht="15" thickBot="1"/>
    <row r="32" spans="2:7" customFormat="1" ht="22.5" customHeight="1" thickTop="1" thickBot="1">
      <c r="C32" s="1069" t="s">
        <v>461</v>
      </c>
      <c r="D32" s="1070"/>
      <c r="E32" s="1071"/>
      <c r="F32" s="8"/>
    </row>
    <row r="33" spans="2:9" customFormat="1" ht="15.5">
      <c r="C33" s="83" t="s">
        <v>456</v>
      </c>
      <c r="E33" s="56"/>
      <c r="F33" s="8"/>
    </row>
    <row r="34" spans="2:9" customFormat="1" ht="15.5">
      <c r="C34" s="913" t="s">
        <v>457</v>
      </c>
      <c r="D34" s="914"/>
      <c r="E34" s="915"/>
      <c r="F34" s="8"/>
    </row>
    <row r="35" spans="2:9" customFormat="1" ht="15.5">
      <c r="C35" s="913" t="s">
        <v>458</v>
      </c>
      <c r="D35" s="914"/>
      <c r="E35" s="915"/>
      <c r="F35" s="8"/>
    </row>
    <row r="36" spans="2:9" customFormat="1" ht="15.5">
      <c r="C36" s="913" t="s">
        <v>459</v>
      </c>
      <c r="D36" s="914"/>
      <c r="E36" s="915"/>
      <c r="F36" s="8"/>
    </row>
    <row r="37" spans="2:9" customFormat="1" ht="15.5">
      <c r="B37" s="3"/>
      <c r="C37" s="913" t="s">
        <v>460</v>
      </c>
      <c r="D37" s="914"/>
      <c r="E37" s="915"/>
      <c r="F37" s="8"/>
    </row>
    <row r="38" spans="2:9" customFormat="1" ht="15" thickBot="1">
      <c r="B38" s="3"/>
      <c r="C38" s="76"/>
      <c r="E38" s="56"/>
      <c r="F38" s="8"/>
    </row>
    <row r="39" spans="2:9" customFormat="1" ht="17.5" thickBot="1">
      <c r="B39" s="3"/>
      <c r="C39" s="906" t="s">
        <v>384</v>
      </c>
      <c r="D39" s="907" t="s">
        <v>942</v>
      </c>
      <c r="E39" s="908" t="s">
        <v>377</v>
      </c>
      <c r="F39" s="8"/>
    </row>
    <row r="40" spans="2:9" customFormat="1" ht="49.5" customHeight="1" thickBot="1">
      <c r="B40" s="909" t="s">
        <v>933</v>
      </c>
      <c r="C40" s="910" t="s">
        <v>371</v>
      </c>
      <c r="D40" s="911" t="s">
        <v>375</v>
      </c>
      <c r="E40" s="559"/>
      <c r="F40" s="8"/>
    </row>
    <row r="41" spans="2:9" customFormat="1" ht="49.5" customHeight="1" thickBot="1">
      <c r="B41" s="912" t="s">
        <v>934</v>
      </c>
      <c r="C41" s="910" t="s">
        <v>372</v>
      </c>
      <c r="D41" s="911" t="s">
        <v>467</v>
      </c>
      <c r="E41" s="559"/>
      <c r="F41" s="8"/>
    </row>
    <row r="42" spans="2:9" customFormat="1" ht="28" customHeight="1" thickBot="1">
      <c r="B42" s="909" t="s">
        <v>935</v>
      </c>
      <c r="C42" s="910" t="s">
        <v>373</v>
      </c>
      <c r="D42" s="911" t="s">
        <v>376</v>
      </c>
      <c r="E42" s="558"/>
      <c r="F42" s="8"/>
    </row>
    <row r="44" spans="2:9" ht="15" thickBot="1"/>
    <row r="45" spans="2:9" customFormat="1" ht="28" customHeight="1" thickTop="1" thickBot="1">
      <c r="C45" s="1069" t="s">
        <v>779</v>
      </c>
      <c r="D45" s="1070"/>
      <c r="E45" s="1071"/>
      <c r="G45" s="3"/>
      <c r="H45" s="8"/>
    </row>
    <row r="46" spans="2:9" customFormat="1" ht="17.5" thickBot="1">
      <c r="C46" s="906" t="s">
        <v>384</v>
      </c>
      <c r="D46" s="907" t="s">
        <v>374</v>
      </c>
      <c r="E46" s="907" t="s">
        <v>377</v>
      </c>
      <c r="G46" s="3"/>
      <c r="H46" s="8"/>
    </row>
    <row r="47" spans="2:9" s="9" customFormat="1" ht="66" customHeight="1" thickBot="1">
      <c r="B47" s="909" t="s">
        <v>936</v>
      </c>
      <c r="C47" s="910" t="s">
        <v>557</v>
      </c>
      <c r="D47" s="911" t="s">
        <v>879</v>
      </c>
      <c r="E47" s="902"/>
      <c r="F47" s="916"/>
      <c r="G47" s="121" t="str">
        <f>IF(AND(ISNUMBER(#REF!), ISBLANK(E47)), "Error: Missing 0-6 amount", "")</f>
        <v/>
      </c>
      <c r="I47" s="10"/>
    </row>
    <row r="48" spans="2:9" s="9" customFormat="1" ht="31.5" thickBot="1">
      <c r="B48" s="912" t="s">
        <v>937</v>
      </c>
      <c r="C48" s="910" t="s">
        <v>570</v>
      </c>
      <c r="D48" s="911" t="s">
        <v>824</v>
      </c>
      <c r="E48" s="902"/>
      <c r="F48" s="916"/>
      <c r="G48" s="121"/>
      <c r="I48" s="10"/>
    </row>
  </sheetData>
  <sheetProtection algorithmName="SHA-512" hashValue="sv+SvmkClV2lWKpV/ITZK4Jwa6s17kziYbstIWD1/LGlpjTE6Zvr9uwCi5uElGkY7F2LRQm0jkYlRNK5q2iwmg==" saltValue="uGI1KGG8fWT+9v8n3NvZow==" spinCount="100000" sheet="1" objects="1" scenarios="1"/>
  <protectedRanges>
    <protectedRange sqref="E47" name="allow_3"/>
    <protectedRange sqref="E48" name="allow_1_2"/>
  </protectedRanges>
  <mergeCells count="10">
    <mergeCell ref="C28:E28"/>
    <mergeCell ref="C32:E32"/>
    <mergeCell ref="C5:E5"/>
    <mergeCell ref="C45:E45"/>
    <mergeCell ref="C2:E2"/>
    <mergeCell ref="C3:E3"/>
    <mergeCell ref="C7:E7"/>
    <mergeCell ref="C12:E12"/>
    <mergeCell ref="C17:E17"/>
    <mergeCell ref="C22:E22"/>
  </mergeCells>
  <conditionalFormatting sqref="B9:B10">
    <cfRule type="expression" dxfId="36" priority="3">
      <formula>AND(ISNUMBER(#REF!), E9="")</formula>
    </cfRule>
  </conditionalFormatting>
  <conditionalFormatting sqref="B14:B15">
    <cfRule type="expression" dxfId="35" priority="4">
      <formula>AND(ISNUMBER(#REF!), E14="")</formula>
    </cfRule>
  </conditionalFormatting>
  <conditionalFormatting sqref="B19:B20">
    <cfRule type="expression" dxfId="34" priority="5">
      <formula>AND(ISNUMBER(#REF!), E19="")</formula>
    </cfRule>
  </conditionalFormatting>
  <conditionalFormatting sqref="B24:B25">
    <cfRule type="expression" dxfId="33" priority="6">
      <formula>AND(ISNUMBER(#REF!), E24="")</formula>
    </cfRule>
  </conditionalFormatting>
  <conditionalFormatting sqref="B30">
    <cfRule type="expression" dxfId="32" priority="7">
      <formula>AND(ISNUMBER(#REF!), E30="")</formula>
    </cfRule>
  </conditionalFormatting>
  <conditionalFormatting sqref="B40:B42">
    <cfRule type="expression" dxfId="31" priority="8">
      <formula>AND(ISNUMBER(#REF!), E40="")</formula>
    </cfRule>
  </conditionalFormatting>
  <conditionalFormatting sqref="B47:B48">
    <cfRule type="expression" dxfId="30" priority="23">
      <formula>AND(ISNUMBER(#REF!), E47="")</formula>
    </cfRule>
  </conditionalFormatting>
  <conditionalFormatting sqref="E9:E10 E14:E15 E19:E20 E24:E25 E30">
    <cfRule type="cellIs" dxfId="29" priority="18" operator="equal">
      <formula>""</formula>
    </cfRule>
  </conditionalFormatting>
  <conditionalFormatting sqref="E40:E42">
    <cfRule type="cellIs" dxfId="28" priority="1" operator="equal">
      <formula>""</formula>
    </cfRule>
  </conditionalFormatting>
  <conditionalFormatting sqref="E47:E48">
    <cfRule type="cellIs" dxfId="27" priority="9" operator="equal">
      <formula>""</formula>
    </cfRule>
  </conditionalFormatting>
  <pageMargins left="0.7" right="0.7" top="0.75" bottom="0.75" header="0.3" footer="0.3"/>
  <pageSetup scale="30" fitToHeight="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3DFD0-1BBF-4F9A-BE90-100F4E7E5551}">
  <sheetPr>
    <tabColor theme="9" tint="0.59999389629810485"/>
  </sheetPr>
  <dimension ref="B1:Q109"/>
  <sheetViews>
    <sheetView showGridLines="0" zoomScaleNormal="100" workbookViewId="0">
      <pane ySplit="3" topLeftCell="A4" activePane="bottomLeft" state="frozen"/>
      <selection pane="bottomLeft" activeCell="D7" sqref="D7"/>
    </sheetView>
  </sheetViews>
  <sheetFormatPr defaultColWidth="8.6328125" defaultRowHeight="14.5"/>
  <cols>
    <col min="1" max="1" width="4.26953125" style="30" customWidth="1"/>
    <col min="2" max="2" width="69.81640625" style="29" customWidth="1"/>
    <col min="3" max="3" width="9.81640625" style="30" customWidth="1"/>
    <col min="4" max="4" width="20.26953125" style="30" customWidth="1"/>
    <col min="5" max="5" width="13.81640625" style="29" customWidth="1"/>
    <col min="6" max="6" width="3.81640625" style="29" customWidth="1"/>
    <col min="7" max="7" width="16.453125" style="29" customWidth="1"/>
    <col min="8" max="8" width="18.1796875" style="29" customWidth="1"/>
    <col min="9" max="9" width="14" style="29" customWidth="1"/>
    <col min="10" max="10" width="5" style="29" bestFit="1" customWidth="1"/>
    <col min="11" max="17" width="9.1796875" style="29" customWidth="1"/>
    <col min="18" max="16384" width="8.6328125" style="30"/>
  </cols>
  <sheetData>
    <row r="1" spans="2:17" ht="20.5" customHeight="1">
      <c r="B1" s="993" t="str">
        <f>IF('A1. Identification'!D7=0, "2025 FAIR, CWELCC and OTEF Reconciliation for Single Site Operators",'A1. Identification'!D7)</f>
        <v>2025 FAIR, CWELCC and OTEF Reconciliation for Single Site Operators</v>
      </c>
      <c r="C1" s="993"/>
      <c r="D1" s="993"/>
      <c r="E1" s="993"/>
      <c r="F1" s="993"/>
      <c r="G1" s="993"/>
      <c r="H1" s="112" t="s">
        <v>109</v>
      </c>
      <c r="I1" s="113" t="str">
        <f>IF('A1. Identification'!$D$13=0, " ",'A1. Identification'!$D$13)</f>
        <v xml:space="preserve"> </v>
      </c>
    </row>
    <row r="2" spans="2:17" s="29" customFormat="1" ht="23.15" customHeight="1">
      <c r="B2" s="993" t="s">
        <v>131</v>
      </c>
      <c r="C2" s="993"/>
      <c r="D2" s="993"/>
      <c r="E2" s="993"/>
      <c r="F2" s="993"/>
      <c r="G2" s="993"/>
      <c r="H2" s="112" t="s">
        <v>303</v>
      </c>
      <c r="I2" s="113" t="str">
        <f>'A6. Operations'!L2</f>
        <v>Please enter Ministry licence number on tab A6 row 7</v>
      </c>
    </row>
    <row r="3" spans="2:17" s="29" customFormat="1" ht="21.65" customHeight="1">
      <c r="B3" s="993" t="str">
        <f>"For The Year Ended " &amp;TEXT('A1. Identification'!D8,"mmmm d, yyyy")</f>
        <v>For The Year Ended January 0, 1900</v>
      </c>
      <c r="C3" s="993"/>
      <c r="D3" s="993"/>
      <c r="E3" s="993"/>
      <c r="F3" s="993"/>
      <c r="G3" s="993"/>
    </row>
    <row r="4" spans="2:17" s="29" customFormat="1" ht="15" thickBot="1"/>
    <row r="5" spans="2:17" s="29" customFormat="1" ht="15.5">
      <c r="B5" s="59" t="s">
        <v>132</v>
      </c>
      <c r="C5" s="65"/>
      <c r="D5" s="65"/>
      <c r="E5" s="65"/>
      <c r="F5" s="65"/>
      <c r="G5" s="66"/>
    </row>
    <row r="6" spans="2:17" s="29" customFormat="1" ht="6.75" customHeight="1">
      <c r="B6" s="31"/>
      <c r="G6" s="32"/>
    </row>
    <row r="7" spans="2:17" s="29" customFormat="1" ht="15.5">
      <c r="B7" s="26" t="s">
        <v>133</v>
      </c>
      <c r="C7" s="21">
        <v>110</v>
      </c>
      <c r="D7" s="23"/>
      <c r="E7" s="9"/>
      <c r="F7" s="9"/>
      <c r="G7" s="11"/>
      <c r="H7" s="9"/>
      <c r="I7" s="9"/>
      <c r="J7" s="9"/>
    </row>
    <row r="8" spans="2:17" s="29" customFormat="1" ht="14.5" customHeight="1">
      <c r="B8" s="26" t="s">
        <v>134</v>
      </c>
      <c r="C8" s="21" t="s">
        <v>135</v>
      </c>
      <c r="D8" s="23"/>
      <c r="E8" s="9"/>
      <c r="F8" s="9"/>
      <c r="G8" s="11"/>
      <c r="H8" s="9"/>
      <c r="I8" s="9"/>
      <c r="J8" s="9"/>
    </row>
    <row r="9" spans="2:17" ht="14.5" customHeight="1">
      <c r="B9" s="28" t="s">
        <v>136</v>
      </c>
      <c r="C9" s="21">
        <v>111</v>
      </c>
      <c r="D9" s="23"/>
      <c r="E9" s="9"/>
      <c r="F9" s="9"/>
      <c r="G9" s="11"/>
      <c r="H9" s="9"/>
      <c r="I9" s="9"/>
      <c r="J9" s="9"/>
    </row>
    <row r="10" spans="2:17" ht="15.5">
      <c r="B10" s="28" t="s">
        <v>137</v>
      </c>
      <c r="C10" s="21" t="s">
        <v>138</v>
      </c>
      <c r="D10" s="23"/>
      <c r="E10" s="9"/>
      <c r="F10" s="9"/>
      <c r="G10" s="11"/>
      <c r="H10" s="9"/>
      <c r="I10" s="9"/>
      <c r="J10" s="9"/>
    </row>
    <row r="11" spans="2:17" ht="15.5">
      <c r="B11" s="28" t="s">
        <v>139</v>
      </c>
      <c r="C11" s="21">
        <v>112</v>
      </c>
      <c r="D11" s="23"/>
      <c r="E11" s="9"/>
      <c r="F11" s="9"/>
      <c r="G11" s="11"/>
      <c r="H11" s="9"/>
      <c r="I11" s="9"/>
      <c r="J11" s="9"/>
    </row>
    <row r="12" spans="2:17" s="5" customFormat="1" ht="15.5">
      <c r="B12" s="33" t="s">
        <v>140</v>
      </c>
      <c r="C12" s="21">
        <v>113</v>
      </c>
      <c r="D12" s="34">
        <f>SUM(D7:D11)</f>
        <v>0</v>
      </c>
      <c r="E12" s="35"/>
      <c r="F12" s="35"/>
      <c r="G12" s="11"/>
      <c r="H12" s="35"/>
      <c r="I12" s="35"/>
      <c r="J12" s="35"/>
      <c r="K12" s="4"/>
      <c r="L12" s="4"/>
      <c r="M12" s="4"/>
      <c r="N12" s="4"/>
      <c r="O12" s="4"/>
      <c r="P12" s="4"/>
      <c r="Q12" s="4"/>
    </row>
    <row r="13" spans="2:17" ht="15.5">
      <c r="B13" s="60"/>
      <c r="C13" s="443"/>
      <c r="D13" s="444"/>
      <c r="E13" s="443"/>
      <c r="F13" s="9"/>
      <c r="G13" s="11"/>
      <c r="H13" s="9"/>
      <c r="I13" s="9"/>
      <c r="J13" s="9"/>
    </row>
    <row r="14" spans="2:17" ht="15.5">
      <c r="B14" s="28" t="s">
        <v>141</v>
      </c>
      <c r="C14" s="21">
        <v>114</v>
      </c>
      <c r="D14" s="23"/>
      <c r="E14" s="14"/>
      <c r="F14" s="14"/>
      <c r="G14" s="81"/>
      <c r="H14" s="14"/>
      <c r="I14" s="14"/>
      <c r="J14" s="14"/>
    </row>
    <row r="15" spans="2:17" ht="15.5">
      <c r="B15" s="28" t="s">
        <v>139</v>
      </c>
      <c r="C15" s="36">
        <v>115</v>
      </c>
      <c r="D15" s="37"/>
      <c r="E15" s="9"/>
      <c r="F15" s="9"/>
      <c r="G15" s="11"/>
      <c r="H15" s="9"/>
      <c r="I15" s="9"/>
      <c r="J15" s="9"/>
    </row>
    <row r="16" spans="2:17" s="5" customFormat="1" ht="15.5">
      <c r="B16" s="38" t="s">
        <v>142</v>
      </c>
      <c r="C16" s="21">
        <v>116</v>
      </c>
      <c r="D16" s="39">
        <f>SUM(D14:D15)</f>
        <v>0</v>
      </c>
      <c r="E16" s="35"/>
      <c r="F16" s="35"/>
      <c r="G16" s="11"/>
      <c r="H16" s="35"/>
      <c r="I16" s="35"/>
      <c r="J16" s="35"/>
      <c r="K16" s="4"/>
      <c r="L16" s="4"/>
      <c r="M16" s="4"/>
      <c r="N16" s="4"/>
      <c r="O16" s="4"/>
      <c r="P16" s="4"/>
      <c r="Q16" s="4"/>
    </row>
    <row r="17" spans="2:17" s="5" customFormat="1" ht="15.5">
      <c r="B17" s="38"/>
      <c r="C17" s="444"/>
      <c r="D17" s="443"/>
      <c r="E17" s="35"/>
      <c r="F17" s="35"/>
      <c r="G17" s="11"/>
      <c r="H17" s="35"/>
      <c r="I17" s="35"/>
      <c r="J17" s="35"/>
      <c r="K17" s="4"/>
      <c r="L17" s="4"/>
      <c r="M17" s="4"/>
      <c r="N17" s="4"/>
      <c r="O17" s="4"/>
      <c r="P17" s="4"/>
      <c r="Q17" s="4"/>
    </row>
    <row r="18" spans="2:17" ht="15.5">
      <c r="B18" s="28" t="s">
        <v>143</v>
      </c>
      <c r="C18" s="21">
        <v>117</v>
      </c>
      <c r="D18" s="23"/>
      <c r="E18" s="9"/>
      <c r="F18" s="9"/>
      <c r="G18" s="11"/>
      <c r="H18" s="9"/>
      <c r="I18" s="9"/>
      <c r="J18" s="9"/>
    </row>
    <row r="19" spans="2:17" ht="15.5">
      <c r="B19" s="38"/>
      <c r="C19" s="444"/>
      <c r="D19" s="443"/>
      <c r="E19" s="9"/>
      <c r="F19" s="9"/>
      <c r="G19" s="11"/>
      <c r="H19" s="9"/>
      <c r="I19" s="9"/>
      <c r="J19" s="9"/>
    </row>
    <row r="20" spans="2:17" s="7" customFormat="1" ht="15.5">
      <c r="B20" s="61" t="s">
        <v>144</v>
      </c>
      <c r="C20" s="24">
        <v>118</v>
      </c>
      <c r="D20" s="40">
        <f>ROUND(+D16+D12+D18,0)</f>
        <v>0</v>
      </c>
      <c r="E20" s="12"/>
      <c r="F20" s="12"/>
      <c r="G20" s="15"/>
      <c r="H20" s="12"/>
      <c r="I20" s="12"/>
      <c r="J20" s="12"/>
      <c r="K20" s="6"/>
      <c r="L20" s="6"/>
      <c r="M20" s="6"/>
      <c r="N20" s="6"/>
      <c r="O20" s="6"/>
      <c r="P20" s="6"/>
      <c r="Q20" s="6"/>
    </row>
    <row r="21" spans="2:17" ht="15.5">
      <c r="B21" s="13"/>
      <c r="C21" s="9"/>
      <c r="D21" s="9"/>
      <c r="E21" s="9"/>
      <c r="F21" s="9"/>
      <c r="G21" s="11"/>
      <c r="H21" s="9"/>
      <c r="I21" s="9"/>
      <c r="J21" s="9"/>
    </row>
    <row r="22" spans="2:17" ht="2.5" customHeight="1">
      <c r="B22" s="13"/>
      <c r="C22" s="9"/>
      <c r="D22" s="9"/>
      <c r="E22" s="9"/>
      <c r="F22" s="9"/>
      <c r="G22" s="11"/>
      <c r="H22" s="9"/>
      <c r="I22" s="9"/>
      <c r="J22" s="9"/>
    </row>
    <row r="23" spans="2:17" ht="15.5">
      <c r="B23" s="62" t="s">
        <v>145</v>
      </c>
      <c r="C23" s="445"/>
      <c r="D23" s="445"/>
      <c r="E23" s="445"/>
      <c r="F23" s="445"/>
      <c r="G23" s="67"/>
      <c r="H23" s="9"/>
      <c r="I23" s="9"/>
      <c r="J23" s="9"/>
    </row>
    <row r="24" spans="2:17" ht="15.5">
      <c r="B24" s="26" t="s">
        <v>146</v>
      </c>
      <c r="C24" s="41">
        <v>210</v>
      </c>
      <c r="D24" s="23"/>
      <c r="E24" s="9"/>
      <c r="F24" s="9"/>
      <c r="G24" s="11"/>
      <c r="H24" s="9"/>
      <c r="I24" s="9"/>
      <c r="J24" s="9"/>
    </row>
    <row r="25" spans="2:17" ht="15.5">
      <c r="B25" s="28" t="s">
        <v>147</v>
      </c>
      <c r="C25" s="41">
        <v>211</v>
      </c>
      <c r="D25" s="23"/>
      <c r="E25" s="9"/>
      <c r="F25" s="9"/>
      <c r="G25" s="11"/>
      <c r="H25" s="9"/>
      <c r="I25" s="9"/>
      <c r="J25" s="9"/>
    </row>
    <row r="26" spans="2:17" ht="15.5">
      <c r="B26" s="28" t="s">
        <v>148</v>
      </c>
      <c r="C26" s="41" t="s">
        <v>149</v>
      </c>
      <c r="D26" s="581">
        <f>'A9. SummaryOfReconciliations '!E26</f>
        <v>0</v>
      </c>
      <c r="E26" s="14"/>
      <c r="F26" s="9"/>
      <c r="G26" s="11"/>
      <c r="H26" s="9"/>
      <c r="I26" s="9"/>
      <c r="J26" s="9"/>
    </row>
    <row r="27" spans="2:17" ht="15.5">
      <c r="B27" s="28" t="s">
        <v>150</v>
      </c>
      <c r="C27" s="21">
        <v>212</v>
      </c>
      <c r="D27" s="23"/>
      <c r="E27" s="14"/>
      <c r="F27" s="9"/>
      <c r="G27" s="11"/>
      <c r="H27" s="9"/>
      <c r="I27" s="9"/>
      <c r="J27" s="9"/>
    </row>
    <row r="28" spans="2:17" ht="15.5">
      <c r="B28" s="102" t="s">
        <v>844</v>
      </c>
      <c r="C28" s="101" t="s">
        <v>413</v>
      </c>
      <c r="D28" s="581">
        <f>'A3. Peel Region Grants'!D74</f>
        <v>0</v>
      </c>
      <c r="E28" s="14"/>
      <c r="F28" s="9"/>
      <c r="G28" s="11"/>
      <c r="H28" s="14"/>
      <c r="I28" s="9"/>
      <c r="J28" s="9"/>
    </row>
    <row r="29" spans="2:17" ht="15.5">
      <c r="B29" s="102" t="s">
        <v>845</v>
      </c>
      <c r="C29" s="101" t="s">
        <v>414</v>
      </c>
      <c r="D29" s="581">
        <f>'A3. Peel Region Grants'!F141</f>
        <v>0</v>
      </c>
      <c r="E29" s="14"/>
      <c r="F29" s="14"/>
      <c r="G29" s="81"/>
      <c r="H29" s="14"/>
      <c r="I29" s="14"/>
      <c r="J29" s="9"/>
    </row>
    <row r="30" spans="2:17" ht="15.5">
      <c r="B30" s="28" t="s">
        <v>151</v>
      </c>
      <c r="C30" s="21">
        <v>213</v>
      </c>
      <c r="D30" s="23"/>
      <c r="E30" s="9"/>
      <c r="F30" s="9"/>
      <c r="G30" s="81"/>
      <c r="H30" s="14"/>
      <c r="I30" s="9"/>
      <c r="J30" s="9"/>
    </row>
    <row r="31" spans="2:17" ht="15.75" customHeight="1">
      <c r="B31" s="28" t="s">
        <v>139</v>
      </c>
      <c r="C31" s="21">
        <v>214</v>
      </c>
      <c r="D31" s="23"/>
      <c r="F31" s="9"/>
      <c r="G31" s="1081"/>
      <c r="H31" s="14"/>
      <c r="I31" s="9"/>
      <c r="J31" s="9"/>
    </row>
    <row r="32" spans="2:17" ht="15.75" customHeight="1">
      <c r="B32" s="38" t="s">
        <v>152</v>
      </c>
      <c r="C32" s="21">
        <v>215</v>
      </c>
      <c r="D32" s="22">
        <f>SUM(D24:D31)</f>
        <v>0</v>
      </c>
      <c r="E32" s="372"/>
      <c r="F32" s="9"/>
      <c r="G32" s="1081"/>
      <c r="H32" s="9"/>
      <c r="I32" s="9"/>
      <c r="J32" s="9"/>
    </row>
    <row r="33" spans="2:17" ht="16.5" customHeight="1">
      <c r="B33" s="28"/>
      <c r="C33" s="444"/>
      <c r="D33" s="443"/>
      <c r="E33" s="372"/>
      <c r="F33" s="9"/>
      <c r="G33" s="1081"/>
      <c r="H33" s="9"/>
      <c r="I33" s="9"/>
      <c r="Q33" s="30"/>
    </row>
    <row r="34" spans="2:17" ht="15.5">
      <c r="B34" s="28" t="s">
        <v>153</v>
      </c>
      <c r="C34" s="21">
        <v>216</v>
      </c>
      <c r="D34" s="23"/>
      <c r="E34" s="372"/>
      <c r="F34" s="9"/>
      <c r="G34" s="901"/>
      <c r="H34" s="87" t="s">
        <v>940</v>
      </c>
      <c r="I34" s="14"/>
      <c r="J34" s="30"/>
      <c r="K34" s="30"/>
      <c r="L34" s="30"/>
      <c r="M34" s="30"/>
      <c r="Q34" s="30"/>
    </row>
    <row r="35" spans="2:17" ht="15.5">
      <c r="B35" s="28" t="s">
        <v>154</v>
      </c>
      <c r="C35" s="21">
        <v>217</v>
      </c>
      <c r="D35" s="23"/>
      <c r="E35" s="372"/>
      <c r="F35" s="9"/>
      <c r="G35" s="11"/>
      <c r="H35" s="87"/>
      <c r="I35" s="14"/>
      <c r="J35" s="30"/>
      <c r="K35" s="30"/>
      <c r="L35" s="30"/>
      <c r="Q35" s="30"/>
    </row>
    <row r="36" spans="2:17" s="5" customFormat="1" ht="15.5">
      <c r="B36" s="38" t="s">
        <v>155</v>
      </c>
      <c r="C36" s="42">
        <v>218</v>
      </c>
      <c r="D36" s="22">
        <f>+D34+D35</f>
        <v>0</v>
      </c>
      <c r="E36" s="372"/>
      <c r="F36" s="35"/>
      <c r="G36" s="1081"/>
      <c r="H36" s="35"/>
      <c r="I36" s="35"/>
      <c r="J36" s="4"/>
      <c r="K36" s="4"/>
      <c r="L36" s="4"/>
      <c r="M36" s="4"/>
      <c r="N36" s="4"/>
      <c r="O36" s="4"/>
      <c r="P36" s="4"/>
    </row>
    <row r="37" spans="2:17" s="5" customFormat="1" ht="15.5">
      <c r="B37" s="38"/>
      <c r="C37" s="444"/>
      <c r="D37" s="443"/>
      <c r="E37" s="372"/>
      <c r="F37" s="35"/>
      <c r="G37" s="1081"/>
      <c r="H37" s="35"/>
      <c r="I37" s="35"/>
      <c r="J37" s="4"/>
      <c r="K37" s="4"/>
      <c r="L37" s="4"/>
      <c r="M37" s="4"/>
      <c r="N37" s="4"/>
      <c r="O37" s="4"/>
      <c r="P37" s="4"/>
    </row>
    <row r="38" spans="2:17" ht="15.5">
      <c r="B38" s="28" t="s">
        <v>156</v>
      </c>
      <c r="C38" s="21">
        <v>219</v>
      </c>
      <c r="D38" s="23"/>
      <c r="E38" s="9"/>
      <c r="F38" s="9"/>
      <c r="G38" s="1081"/>
      <c r="H38" s="9"/>
      <c r="I38" s="9"/>
      <c r="J38" s="9"/>
    </row>
    <row r="39" spans="2:17" ht="15.5">
      <c r="B39" s="19"/>
      <c r="C39" s="444"/>
      <c r="D39" s="443"/>
      <c r="E39" s="9"/>
      <c r="F39" s="9"/>
      <c r="G39" s="11"/>
      <c r="H39" s="9"/>
      <c r="I39" s="9"/>
      <c r="J39" s="9"/>
    </row>
    <row r="40" spans="2:17" s="7" customFormat="1" ht="15.5">
      <c r="B40" s="43" t="s">
        <v>157</v>
      </c>
      <c r="C40" s="44">
        <v>220</v>
      </c>
      <c r="D40" s="40">
        <f>ROUND(+D36+D32+D38,0)</f>
        <v>0</v>
      </c>
      <c r="E40" s="446"/>
      <c r="F40" s="12"/>
      <c r="G40" s="15"/>
      <c r="H40" s="12"/>
      <c r="I40" s="12"/>
      <c r="J40" s="12"/>
      <c r="K40" s="6"/>
      <c r="L40" s="6"/>
      <c r="M40" s="6"/>
      <c r="N40" s="6"/>
      <c r="O40" s="6"/>
      <c r="P40" s="6"/>
      <c r="Q40" s="6"/>
    </row>
    <row r="41" spans="2:17" ht="15.5">
      <c r="B41" s="13"/>
      <c r="C41" s="9"/>
      <c r="D41" s="9"/>
      <c r="E41" s="9"/>
      <c r="F41" s="9"/>
      <c r="G41" s="11"/>
      <c r="H41" s="9"/>
      <c r="I41" s="9"/>
      <c r="J41" s="9"/>
    </row>
    <row r="42" spans="2:17" ht="4.1500000000000004" customHeight="1">
      <c r="B42" s="13"/>
      <c r="C42" s="9"/>
      <c r="D42" s="9"/>
      <c r="E42" s="9"/>
      <c r="F42" s="9"/>
      <c r="G42" s="11"/>
      <c r="H42" s="9"/>
      <c r="I42" s="9"/>
      <c r="J42" s="9"/>
    </row>
    <row r="43" spans="2:17" ht="15.5">
      <c r="B43" s="25" t="s">
        <v>158</v>
      </c>
      <c r="C43" s="9"/>
      <c r="D43" s="9"/>
      <c r="E43" s="9"/>
      <c r="F43" s="9"/>
      <c r="G43" s="11"/>
      <c r="H43" s="9"/>
      <c r="I43" s="14"/>
      <c r="J43" s="14"/>
      <c r="K43" s="30"/>
    </row>
    <row r="44" spans="2:17" ht="15.5">
      <c r="B44" s="28" t="s">
        <v>159</v>
      </c>
      <c r="C44" s="42">
        <v>500</v>
      </c>
      <c r="D44" s="45">
        <f>D58</f>
        <v>0</v>
      </c>
      <c r="E44" s="9"/>
      <c r="F44" s="9"/>
      <c r="G44" s="11"/>
      <c r="H44" s="9"/>
      <c r="I44" s="9"/>
      <c r="J44" s="9"/>
    </row>
    <row r="45" spans="2:17" ht="15.5">
      <c r="B45" s="28" t="s">
        <v>160</v>
      </c>
      <c r="C45" s="42">
        <v>502</v>
      </c>
      <c r="D45" s="46"/>
      <c r="E45" s="9"/>
      <c r="F45" s="9"/>
      <c r="G45" s="11"/>
      <c r="H45" s="9"/>
      <c r="I45" s="9"/>
      <c r="J45" s="9"/>
    </row>
    <row r="46" spans="2:17" ht="15.5">
      <c r="B46" s="28" t="s">
        <v>139</v>
      </c>
      <c r="C46" s="42">
        <v>513</v>
      </c>
      <c r="D46" s="46"/>
      <c r="E46" s="9"/>
      <c r="F46" s="9"/>
      <c r="G46" s="11"/>
      <c r="H46" s="9"/>
      <c r="I46" s="9"/>
      <c r="J46" s="9"/>
    </row>
    <row r="47" spans="2:17" s="7" customFormat="1" ht="15.5">
      <c r="B47" s="43" t="s">
        <v>161</v>
      </c>
      <c r="C47" s="44">
        <v>520</v>
      </c>
      <c r="D47" s="47">
        <f>ROUND(+D44+D46+D45,0)</f>
        <v>0</v>
      </c>
      <c r="E47" s="12"/>
      <c r="F47" s="12"/>
      <c r="G47" s="15"/>
      <c r="H47" s="12"/>
      <c r="I47" s="12"/>
      <c r="J47" s="12"/>
      <c r="K47" s="6"/>
      <c r="L47" s="6"/>
      <c r="M47" s="6"/>
      <c r="N47" s="6"/>
      <c r="O47" s="6"/>
      <c r="P47" s="6"/>
      <c r="Q47" s="6"/>
    </row>
    <row r="48" spans="2:17" s="7" customFormat="1" ht="15.5">
      <c r="B48" s="43"/>
      <c r="C48" s="12"/>
      <c r="D48" s="447"/>
      <c r="E48" s="12"/>
      <c r="F48" s="12"/>
      <c r="G48" s="15"/>
      <c r="H48" s="12"/>
      <c r="I48" s="12"/>
      <c r="J48" s="12"/>
      <c r="K48" s="6"/>
      <c r="L48" s="6"/>
      <c r="M48" s="6"/>
      <c r="N48" s="6"/>
      <c r="O48" s="6"/>
      <c r="P48" s="6"/>
      <c r="Q48" s="6"/>
    </row>
    <row r="49" spans="2:10" ht="15.5">
      <c r="B49" s="63" t="s">
        <v>162</v>
      </c>
      <c r="C49" s="24">
        <v>550</v>
      </c>
      <c r="D49" s="40">
        <f>ROUND(+D47+D40,0)</f>
        <v>0</v>
      </c>
      <c r="E49" s="9"/>
      <c r="F49" s="9"/>
      <c r="G49" s="11"/>
      <c r="H49" s="9"/>
      <c r="I49" s="9"/>
      <c r="J49" s="9"/>
    </row>
    <row r="50" spans="2:10" ht="15.5">
      <c r="B50" s="43"/>
      <c r="C50" s="448"/>
      <c r="D50" s="64"/>
      <c r="E50" s="9"/>
      <c r="F50" s="9"/>
      <c r="G50" s="11"/>
      <c r="H50" s="9"/>
      <c r="I50" s="9"/>
      <c r="J50" s="9"/>
    </row>
    <row r="51" spans="2:10" ht="18.5">
      <c r="B51" s="1082" t="str">
        <f>IF(D20=D40+D47," ","NOT BALANCED DIFFERENCE OF $"&amp;(D20-D40-D47))</f>
        <v xml:space="preserve"> </v>
      </c>
      <c r="C51" s="1083"/>
      <c r="D51" s="1083"/>
      <c r="E51" s="14"/>
      <c r="F51" s="9"/>
      <c r="G51" s="11"/>
      <c r="H51" s="9"/>
      <c r="I51" s="9"/>
      <c r="J51" s="9"/>
    </row>
    <row r="52" spans="2:10" ht="15.5">
      <c r="B52" s="43"/>
      <c r="C52" s="448"/>
      <c r="D52" s="64"/>
      <c r="E52" s="9"/>
      <c r="F52" s="9"/>
      <c r="G52" s="11"/>
      <c r="H52" s="9"/>
      <c r="I52" s="9"/>
      <c r="J52" s="9"/>
    </row>
    <row r="53" spans="2:10" ht="15.5">
      <c r="B53" s="62" t="s">
        <v>163</v>
      </c>
      <c r="C53" s="445"/>
      <c r="D53" s="445"/>
      <c r="E53" s="445"/>
      <c r="F53" s="445"/>
      <c r="G53" s="67"/>
      <c r="H53" s="9"/>
      <c r="I53" s="9"/>
      <c r="J53" s="9"/>
    </row>
    <row r="54" spans="2:10" ht="15.5">
      <c r="B54" s="13" t="s">
        <v>164</v>
      </c>
      <c r="C54" s="41" t="s">
        <v>165</v>
      </c>
      <c r="D54" s="46"/>
      <c r="E54" s="9"/>
      <c r="F54" s="9"/>
      <c r="G54" s="11"/>
      <c r="H54" s="9"/>
      <c r="I54" s="9"/>
      <c r="J54" s="9"/>
    </row>
    <row r="55" spans="2:10" ht="15.5">
      <c r="B55" s="13" t="s">
        <v>166</v>
      </c>
      <c r="C55" s="41" t="s">
        <v>167</v>
      </c>
      <c r="D55" s="45">
        <f>'A6. Operations'!D125</f>
        <v>0</v>
      </c>
      <c r="E55" s="9"/>
      <c r="F55" s="9"/>
      <c r="G55" s="11"/>
      <c r="H55" s="9"/>
      <c r="I55" s="9"/>
      <c r="J55" s="9"/>
    </row>
    <row r="56" spans="2:10" ht="15.5">
      <c r="B56" s="13" t="s">
        <v>168</v>
      </c>
      <c r="C56" s="41" t="s">
        <v>169</v>
      </c>
      <c r="D56" s="46"/>
      <c r="E56" s="9"/>
      <c r="F56" s="9"/>
      <c r="G56" s="11"/>
      <c r="H56" s="9"/>
      <c r="I56" s="9"/>
      <c r="J56" s="9"/>
    </row>
    <row r="57" spans="2:10" ht="15.5">
      <c r="B57" s="13" t="s">
        <v>139</v>
      </c>
      <c r="C57" s="41" t="s">
        <v>170</v>
      </c>
      <c r="D57" s="46"/>
      <c r="E57" s="9"/>
      <c r="F57" s="9"/>
      <c r="G57" s="11"/>
      <c r="H57" s="9"/>
      <c r="I57" s="9"/>
      <c r="J57" s="9"/>
    </row>
    <row r="58" spans="2:10" ht="16" thickBot="1">
      <c r="B58" s="16" t="s">
        <v>171</v>
      </c>
      <c r="C58" s="48">
        <v>500</v>
      </c>
      <c r="D58" s="49">
        <f>+D54+D55+D56+D57</f>
        <v>0</v>
      </c>
      <c r="E58" s="17"/>
      <c r="F58" s="17"/>
      <c r="G58" s="50"/>
      <c r="H58" s="9"/>
      <c r="I58" s="9"/>
      <c r="J58" s="9"/>
    </row>
    <row r="59" spans="2:10" ht="15.5">
      <c r="B59" s="9"/>
      <c r="C59" s="9"/>
      <c r="D59" s="9"/>
      <c r="E59" s="9"/>
      <c r="F59" s="9"/>
      <c r="G59" s="9"/>
      <c r="H59" s="9"/>
      <c r="I59" s="9"/>
      <c r="J59" s="9"/>
    </row>
    <row r="60" spans="2:10" ht="15.5">
      <c r="B60" s="9"/>
      <c r="C60" s="9"/>
      <c r="D60" s="9"/>
      <c r="E60" s="9"/>
      <c r="F60" s="9"/>
      <c r="G60" s="9"/>
      <c r="H60" s="9"/>
      <c r="I60" s="9"/>
      <c r="J60" s="9"/>
    </row>
    <row r="61" spans="2:10" ht="15.5">
      <c r="B61" s="9"/>
      <c r="C61" s="9"/>
      <c r="D61" s="9"/>
      <c r="E61" s="9"/>
      <c r="F61" s="9"/>
      <c r="G61" s="9"/>
      <c r="H61" s="9"/>
      <c r="I61" s="9"/>
      <c r="J61" s="9"/>
    </row>
    <row r="62" spans="2:10" ht="15.5">
      <c r="B62" s="9"/>
      <c r="C62" s="9"/>
      <c r="D62" s="9"/>
      <c r="E62" s="9"/>
      <c r="F62" s="9"/>
      <c r="G62" s="9"/>
      <c r="H62" s="9"/>
      <c r="I62" s="9"/>
      <c r="J62" s="9"/>
    </row>
    <row r="63" spans="2:10" ht="15.5">
      <c r="B63" s="9"/>
      <c r="C63" s="9"/>
      <c r="D63" s="9"/>
      <c r="E63" s="9"/>
      <c r="F63" s="9"/>
      <c r="G63" s="9"/>
      <c r="H63" s="9"/>
      <c r="I63" s="9"/>
      <c r="J63" s="9"/>
    </row>
    <row r="64" spans="2:10" ht="15.5">
      <c r="B64" s="9"/>
      <c r="C64" s="9"/>
      <c r="D64" s="9"/>
      <c r="E64" s="9"/>
      <c r="F64" s="9"/>
      <c r="G64" s="9"/>
      <c r="H64" s="9"/>
      <c r="I64" s="9"/>
      <c r="J64" s="9"/>
    </row>
    <row r="65" spans="2:10" ht="15.5">
      <c r="B65" s="9"/>
      <c r="C65" s="9"/>
      <c r="D65" s="9"/>
      <c r="E65" s="9"/>
      <c r="F65" s="9"/>
      <c r="G65" s="9"/>
      <c r="H65" s="9"/>
      <c r="I65" s="9"/>
      <c r="J65" s="9"/>
    </row>
    <row r="66" spans="2:10" ht="15.5">
      <c r="B66" s="9"/>
      <c r="C66" s="9"/>
      <c r="D66" s="9"/>
      <c r="E66" s="9"/>
      <c r="F66" s="9"/>
      <c r="G66" s="9"/>
      <c r="H66" s="9"/>
      <c r="I66" s="9"/>
      <c r="J66" s="9"/>
    </row>
    <row r="67" spans="2:10" ht="15.5">
      <c r="B67" s="9"/>
      <c r="C67" s="9"/>
      <c r="D67" s="9"/>
      <c r="E67" s="9"/>
      <c r="F67" s="9"/>
      <c r="G67" s="9"/>
      <c r="H67" s="9"/>
      <c r="I67" s="9"/>
      <c r="J67" s="9"/>
    </row>
    <row r="68" spans="2:10" ht="15.5">
      <c r="B68" s="9"/>
      <c r="C68" s="9"/>
      <c r="D68" s="9"/>
      <c r="E68" s="9"/>
      <c r="F68" s="9"/>
      <c r="G68" s="9"/>
      <c r="H68" s="9"/>
      <c r="I68" s="9"/>
      <c r="J68" s="9"/>
    </row>
    <row r="69" spans="2:10" ht="15.5">
      <c r="B69" s="9"/>
      <c r="C69" s="9"/>
      <c r="D69" s="9"/>
      <c r="E69" s="9"/>
      <c r="F69" s="9"/>
      <c r="G69" s="9"/>
      <c r="H69" s="9"/>
      <c r="I69" s="9"/>
      <c r="J69" s="9"/>
    </row>
    <row r="70" spans="2:10" ht="15.5">
      <c r="B70" s="9"/>
      <c r="C70" s="9"/>
      <c r="D70" s="9"/>
      <c r="E70" s="9"/>
      <c r="F70" s="9"/>
      <c r="G70" s="9"/>
      <c r="H70" s="9"/>
      <c r="I70" s="9"/>
      <c r="J70" s="9"/>
    </row>
    <row r="71" spans="2:10" ht="15.5">
      <c r="B71" s="9"/>
      <c r="C71" s="9"/>
      <c r="D71" s="9"/>
      <c r="E71" s="9"/>
      <c r="F71" s="9"/>
      <c r="G71" s="9"/>
      <c r="H71" s="9"/>
      <c r="I71" s="9"/>
      <c r="J71" s="9"/>
    </row>
    <row r="72" spans="2:10" ht="15.5">
      <c r="B72" s="9"/>
      <c r="C72" s="9"/>
      <c r="D72" s="9"/>
      <c r="E72" s="9"/>
      <c r="F72" s="9"/>
      <c r="G72" s="9"/>
      <c r="H72" s="9"/>
      <c r="I72" s="9"/>
      <c r="J72" s="9"/>
    </row>
    <row r="73" spans="2:10" ht="15.5">
      <c r="B73" s="9"/>
      <c r="C73" s="9"/>
      <c r="D73" s="9"/>
      <c r="E73" s="9"/>
      <c r="F73" s="9"/>
      <c r="G73" s="9"/>
      <c r="H73" s="9"/>
      <c r="I73" s="9"/>
      <c r="J73" s="9"/>
    </row>
    <row r="74" spans="2:10" ht="15.5">
      <c r="B74" s="9"/>
      <c r="C74" s="9"/>
      <c r="D74" s="9"/>
      <c r="E74" s="9"/>
      <c r="F74" s="9"/>
      <c r="G74" s="9"/>
      <c r="H74" s="9"/>
      <c r="I74" s="9"/>
      <c r="J74" s="9"/>
    </row>
    <row r="75" spans="2:10" ht="15.5">
      <c r="B75" s="9"/>
      <c r="C75" s="9"/>
      <c r="D75" s="9"/>
      <c r="E75" s="9"/>
      <c r="F75" s="9"/>
      <c r="G75" s="9"/>
      <c r="H75" s="9"/>
      <c r="I75" s="9"/>
      <c r="J75" s="9"/>
    </row>
    <row r="76" spans="2:10" ht="15.5">
      <c r="B76" s="9"/>
      <c r="C76" s="9"/>
      <c r="D76" s="9"/>
      <c r="E76" s="9"/>
      <c r="F76" s="9"/>
      <c r="G76" s="9"/>
      <c r="H76" s="9"/>
      <c r="I76" s="9"/>
      <c r="J76" s="9"/>
    </row>
    <row r="77" spans="2:10">
      <c r="C77" s="29"/>
      <c r="D77" s="29"/>
    </row>
    <row r="78" spans="2:10">
      <c r="C78" s="29"/>
      <c r="D78" s="29"/>
    </row>
    <row r="79" spans="2:10">
      <c r="C79" s="29"/>
      <c r="D79" s="29"/>
    </row>
    <row r="80" spans="2:10">
      <c r="C80" s="29"/>
      <c r="D80" s="29"/>
    </row>
    <row r="81" spans="3:4">
      <c r="C81" s="29"/>
      <c r="D81" s="29"/>
    </row>
    <row r="82" spans="3:4">
      <c r="C82" s="29"/>
      <c r="D82" s="29"/>
    </row>
    <row r="83" spans="3:4">
      <c r="C83" s="29"/>
      <c r="D83" s="29"/>
    </row>
    <row r="84" spans="3:4">
      <c r="C84" s="29"/>
      <c r="D84" s="29"/>
    </row>
    <row r="85" spans="3:4">
      <c r="C85" s="29"/>
      <c r="D85" s="29"/>
    </row>
    <row r="86" spans="3:4">
      <c r="C86" s="29"/>
      <c r="D86" s="29"/>
    </row>
    <row r="87" spans="3:4">
      <c r="C87" s="29"/>
      <c r="D87" s="29"/>
    </row>
    <row r="88" spans="3:4">
      <c r="C88" s="29"/>
      <c r="D88" s="29"/>
    </row>
    <row r="89" spans="3:4">
      <c r="C89" s="29"/>
      <c r="D89" s="29"/>
    </row>
    <row r="90" spans="3:4">
      <c r="C90" s="29"/>
      <c r="D90" s="29"/>
    </row>
    <row r="91" spans="3:4">
      <c r="C91" s="29"/>
      <c r="D91" s="29"/>
    </row>
    <row r="92" spans="3:4">
      <c r="C92" s="29"/>
      <c r="D92" s="29"/>
    </row>
    <row r="93" spans="3:4">
      <c r="C93" s="29"/>
      <c r="D93" s="29"/>
    </row>
    <row r="94" spans="3:4">
      <c r="C94" s="29"/>
      <c r="D94" s="29"/>
    </row>
    <row r="95" spans="3:4">
      <c r="C95" s="29"/>
      <c r="D95" s="29"/>
    </row>
    <row r="96" spans="3:4">
      <c r="C96" s="29"/>
      <c r="D96" s="29"/>
    </row>
    <row r="97" spans="3:4">
      <c r="C97" s="29"/>
      <c r="D97" s="29"/>
    </row>
    <row r="98" spans="3:4">
      <c r="C98" s="29"/>
      <c r="D98" s="29"/>
    </row>
    <row r="99" spans="3:4">
      <c r="C99" s="29"/>
      <c r="D99" s="29"/>
    </row>
    <row r="100" spans="3:4">
      <c r="C100" s="29"/>
      <c r="D100" s="29"/>
    </row>
    <row r="101" spans="3:4">
      <c r="C101" s="29"/>
      <c r="D101" s="29"/>
    </row>
    <row r="102" spans="3:4">
      <c r="C102" s="29"/>
      <c r="D102" s="29"/>
    </row>
    <row r="103" spans="3:4">
      <c r="C103" s="29"/>
      <c r="D103" s="29"/>
    </row>
    <row r="104" spans="3:4">
      <c r="C104" s="29"/>
      <c r="D104" s="29"/>
    </row>
    <row r="105" spans="3:4">
      <c r="C105" s="29"/>
      <c r="D105" s="29"/>
    </row>
    <row r="106" spans="3:4">
      <c r="C106" s="29"/>
      <c r="D106" s="29"/>
    </row>
    <row r="107" spans="3:4">
      <c r="C107" s="29"/>
      <c r="D107" s="29"/>
    </row>
    <row r="108" spans="3:4">
      <c r="C108" s="29"/>
      <c r="D108" s="29"/>
    </row>
    <row r="109" spans="3:4">
      <c r="C109" s="29"/>
      <c r="D109" s="29"/>
    </row>
  </sheetData>
  <sheetProtection algorithmName="SHA-512" hashValue="71d1Xxbws8a0/HSgOYjIlQ0vWB+YmUKqESth8kJrLU6wE1GvOhNQbtoO8qDWKq+IS+8lrZ9fsWSw3GfncTUOFw==" saltValue="Kzv4fytbfQJLG5qWSXpBAA==" spinCount="100000" sheet="1" objects="1" scenarios="1"/>
  <mergeCells count="6">
    <mergeCell ref="B1:G1"/>
    <mergeCell ref="B2:G2"/>
    <mergeCell ref="B3:G3"/>
    <mergeCell ref="G31:G33"/>
    <mergeCell ref="B51:D51"/>
    <mergeCell ref="G36:G38"/>
  </mergeCells>
  <conditionalFormatting sqref="G34">
    <cfRule type="expression" dxfId="26" priority="4">
      <formula>$D$34&gt;1</formula>
    </cfRule>
    <cfRule type="expression" dxfId="25" priority="5">
      <formula>$D$34&gt;0</formula>
    </cfRule>
    <cfRule type="cellIs" dxfId="24" priority="6" operator="greaterThan">
      <formula>$D$34&gt;0</formula>
    </cfRule>
  </conditionalFormatting>
  <dataValidations count="1">
    <dataValidation type="decimal" allowBlank="1" showInputMessage="1" showErrorMessage="1" error="Input amount as negative " prompt="Input amount as negative " sqref="D56" xr:uid="{94572151-7153-46B6-BA12-48A32AA8ED4E}">
      <formula1>-1E+26</formula1>
      <formula2>0</formula2>
    </dataValidation>
  </dataValidations>
  <pageMargins left="0.7" right="0.7" top="0.75" bottom="0.75" header="0.3" footer="0.3"/>
  <pageSetup scale="59"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77C6E-3361-43C8-96A6-800F4B1F0D03}">
  <sheetPr>
    <tabColor theme="9" tint="0.59999389629810485"/>
  </sheetPr>
  <dimension ref="B1:M194"/>
  <sheetViews>
    <sheetView showGridLines="0" zoomScale="85" zoomScaleNormal="85" workbookViewId="0">
      <pane xSplit="2" ySplit="3" topLeftCell="C4" activePane="bottomRight" state="frozen"/>
      <selection pane="topRight" activeCell="B1" sqref="B1"/>
      <selection pane="bottomLeft" activeCell="A4" sqref="A4"/>
      <selection pane="bottomRight" activeCell="F7" sqref="F7"/>
    </sheetView>
  </sheetViews>
  <sheetFormatPr defaultColWidth="9.1796875" defaultRowHeight="15.5"/>
  <cols>
    <col min="1" max="1" width="3.453125" style="9" customWidth="1"/>
    <col min="2" max="2" width="86.81640625" style="9" customWidth="1"/>
    <col min="3" max="3" width="9.6328125" style="9" customWidth="1"/>
    <col min="4" max="4" width="20.81640625" style="9" customWidth="1"/>
    <col min="5" max="5" width="23" style="9" customWidth="1"/>
    <col min="6" max="6" width="23.6328125" style="9" customWidth="1"/>
    <col min="7" max="7" width="6.81640625" style="9" customWidth="1"/>
    <col min="8" max="8" width="74.453125" style="9" customWidth="1"/>
    <col min="9" max="9" width="9.453125" style="9" customWidth="1"/>
    <col min="10" max="10" width="9.1796875" style="9"/>
    <col min="11" max="11" width="17.54296875" style="9" customWidth="1"/>
    <col min="12" max="16384" width="9.1796875" style="9"/>
  </cols>
  <sheetData>
    <row r="1" spans="2:12" ht="21" customHeight="1">
      <c r="B1" s="1084" t="str">
        <f>IF('A1. Identification'!D7=0, "2025 FAIR, CWELCC and OTEF Reconciliation for Single Site Operators",'A1. Identification'!D7)</f>
        <v>2025 FAIR, CWELCC and OTEF Reconciliation for Single Site Operators</v>
      </c>
      <c r="C1" s="1085"/>
      <c r="D1" s="1085"/>
      <c r="E1" s="1085"/>
      <c r="F1" s="1085"/>
      <c r="G1" s="470"/>
      <c r="K1" s="112" t="s">
        <v>109</v>
      </c>
      <c r="L1" s="113" t="str">
        <f>IF('A1. Identification'!$D$13=0, " ",'A1. Identification'!$D$13)</f>
        <v xml:space="preserve"> </v>
      </c>
    </row>
    <row r="2" spans="2:12" ht="19" customHeight="1">
      <c r="B2" s="1086" t="s">
        <v>172</v>
      </c>
      <c r="C2" s="993"/>
      <c r="D2" s="993"/>
      <c r="E2" s="993"/>
      <c r="F2" s="993"/>
      <c r="G2" s="471"/>
      <c r="K2" s="112" t="s">
        <v>303</v>
      </c>
      <c r="L2" s="113" t="str">
        <f>IF(F7=0,"Please enter Ministry licence number on tab A6 row 7",F7)</f>
        <v>Please enter Ministry licence number on tab A6 row 7</v>
      </c>
    </row>
    <row r="3" spans="2:12" ht="17.5" customHeight="1" thickBot="1">
      <c r="B3" s="1087" t="s">
        <v>898</v>
      </c>
      <c r="C3" s="1088"/>
      <c r="D3" s="1088"/>
      <c r="E3" s="1088"/>
      <c r="F3" s="1088"/>
      <c r="G3" s="1089"/>
      <c r="H3" s="14"/>
    </row>
    <row r="4" spans="2:12" s="472" customFormat="1" ht="10.5" customHeight="1"/>
    <row r="5" spans="2:12" s="472" customFormat="1" ht="7.5" customHeight="1">
      <c r="B5" s="473"/>
    </row>
    <row r="6" spans="2:12" ht="21.75" customHeight="1" thickBot="1">
      <c r="B6" s="474" t="s">
        <v>866</v>
      </c>
    </row>
    <row r="7" spans="2:12">
      <c r="B7" s="475" t="s">
        <v>733</v>
      </c>
      <c r="C7" s="476"/>
      <c r="D7" s="476"/>
      <c r="E7" s="476"/>
      <c r="F7" s="292"/>
      <c r="G7" s="120" t="s">
        <v>782</v>
      </c>
      <c r="H7"/>
    </row>
    <row r="8" spans="2:12">
      <c r="B8" s="78" t="s">
        <v>734</v>
      </c>
      <c r="F8" s="459"/>
      <c r="G8" s="109" t="s">
        <v>783</v>
      </c>
      <c r="H8"/>
    </row>
    <row r="9" spans="2:12">
      <c r="B9" s="78" t="s">
        <v>736</v>
      </c>
      <c r="F9" s="294"/>
      <c r="G9" s="109" t="s">
        <v>784</v>
      </c>
      <c r="H9" s="1096" t="s">
        <v>915</v>
      </c>
      <c r="I9" s="1097"/>
    </row>
    <row r="10" spans="2:12" ht="15.65" customHeight="1">
      <c r="B10" s="78" t="s">
        <v>306</v>
      </c>
      <c r="F10" s="293"/>
      <c r="G10" s="109" t="s">
        <v>785</v>
      </c>
      <c r="H10" s="1096"/>
      <c r="I10" s="1097"/>
    </row>
    <row r="11" spans="2:12" ht="15.65" customHeight="1">
      <c r="B11" s="78" t="s">
        <v>514</v>
      </c>
      <c r="C11" s="136"/>
      <c r="F11" s="293"/>
      <c r="G11" s="109" t="s">
        <v>786</v>
      </c>
      <c r="H11" s="1096"/>
      <c r="I11" s="1097"/>
    </row>
    <row r="12" spans="2:12" ht="16" thickBot="1">
      <c r="B12" s="78" t="s">
        <v>397</v>
      </c>
      <c r="C12" s="14"/>
      <c r="D12" s="14"/>
      <c r="F12" s="459"/>
      <c r="G12" s="109" t="s">
        <v>787</v>
      </c>
      <c r="H12" s="1098"/>
      <c r="I12" s="1099"/>
    </row>
    <row r="13" spans="2:12">
      <c r="B13" s="78" t="s">
        <v>850</v>
      </c>
      <c r="C13" s="14"/>
      <c r="D13" s="14"/>
      <c r="F13" s="459"/>
      <c r="G13" s="109" t="s">
        <v>788</v>
      </c>
      <c r="H13" s="898"/>
      <c r="I13" s="120" t="s">
        <v>875</v>
      </c>
    </row>
    <row r="14" spans="2:12">
      <c r="B14" s="78" t="s">
        <v>914</v>
      </c>
      <c r="C14" s="14"/>
      <c r="D14" s="14"/>
      <c r="F14" s="459"/>
      <c r="G14" s="109" t="s">
        <v>789</v>
      </c>
      <c r="H14" s="899"/>
      <c r="I14" s="109" t="s">
        <v>912</v>
      </c>
    </row>
    <row r="15" spans="2:12" ht="16" thickBot="1">
      <c r="B15" s="477" t="s">
        <v>308</v>
      </c>
      <c r="C15" s="17"/>
      <c r="D15" s="478"/>
      <c r="E15" s="1092"/>
      <c r="F15" s="1093"/>
      <c r="G15" s="110" t="s">
        <v>874</v>
      </c>
      <c r="H15" s="900"/>
      <c r="I15" s="110" t="s">
        <v>913</v>
      </c>
    </row>
    <row r="16" spans="2:12" s="14" customFormat="1" ht="16" thickBot="1">
      <c r="G16" s="9"/>
    </row>
    <row r="17" spans="2:8" ht="31.5" thickBot="1">
      <c r="B17" s="479" t="s">
        <v>176</v>
      </c>
      <c r="C17" s="65"/>
      <c r="D17" s="480" t="s">
        <v>173</v>
      </c>
      <c r="E17" s="481" t="s">
        <v>314</v>
      </c>
      <c r="F17" s="482" t="s">
        <v>315</v>
      </c>
      <c r="H17" s="87"/>
    </row>
    <row r="18" spans="2:8" ht="15.75" customHeight="1">
      <c r="B18" s="483" t="s">
        <v>428</v>
      </c>
      <c r="C18" s="484">
        <v>301</v>
      </c>
      <c r="D18" s="922">
        <f>'A7. 2025 CWELCC &amp; OTEF Recon'!E74-'A7. 2025 CWELCC &amp; OTEF Recon'!E64</f>
        <v>0</v>
      </c>
      <c r="E18" s="923">
        <f>D18</f>
        <v>0</v>
      </c>
      <c r="F18" s="485"/>
      <c r="H18" s="1094" t="s">
        <v>747</v>
      </c>
    </row>
    <row r="19" spans="2:8" ht="16" thickBot="1">
      <c r="B19" s="20" t="s">
        <v>832</v>
      </c>
      <c r="C19" s="486">
        <v>302</v>
      </c>
      <c r="D19" s="924">
        <f>'A7. 2025 CWELCC &amp; OTEF Recon'!E64</f>
        <v>0</v>
      </c>
      <c r="E19" s="925">
        <f>+D19</f>
        <v>0</v>
      </c>
      <c r="F19" s="488"/>
      <c r="H19" s="1095"/>
    </row>
    <row r="20" spans="2:8">
      <c r="B20" s="20" t="s">
        <v>851</v>
      </c>
      <c r="C20" s="486">
        <v>303</v>
      </c>
      <c r="D20" s="104"/>
      <c r="E20" s="27"/>
      <c r="F20" s="489">
        <f>+D20-E20</f>
        <v>0</v>
      </c>
      <c r="H20" s="121" t="str">
        <f>IF(AND(ISNUMBER(D20), ISBLANK(E20)), "Error: Missing 0-6 amount", "")</f>
        <v/>
      </c>
    </row>
    <row r="21" spans="2:8">
      <c r="B21" s="20" t="s">
        <v>833</v>
      </c>
      <c r="C21" s="486">
        <v>304</v>
      </c>
      <c r="D21" s="104"/>
      <c r="E21" s="27"/>
      <c r="F21" s="489">
        <f>+D21-E21</f>
        <v>0</v>
      </c>
      <c r="H21" s="121" t="str">
        <f>IF(AND(ISNUMBER(D21), ISBLANK(E21)), "Error: Missing 0-6 amount", "")</f>
        <v/>
      </c>
    </row>
    <row r="22" spans="2:8">
      <c r="B22" s="20" t="s">
        <v>429</v>
      </c>
      <c r="C22" s="486">
        <v>305</v>
      </c>
      <c r="D22" s="926">
        <f>'A3. Peel Region Grants'!D150</f>
        <v>0</v>
      </c>
      <c r="E22" s="927"/>
      <c r="F22" s="487">
        <f>D22</f>
        <v>0</v>
      </c>
    </row>
    <row r="23" spans="2:8" s="491" customFormat="1">
      <c r="B23" s="20" t="s">
        <v>390</v>
      </c>
      <c r="C23" s="486">
        <v>306</v>
      </c>
      <c r="D23" s="104"/>
      <c r="E23" s="925">
        <f>D23</f>
        <v>0</v>
      </c>
      <c r="F23" s="488"/>
    </row>
    <row r="24" spans="2:8">
      <c r="B24" s="20" t="s">
        <v>388</v>
      </c>
      <c r="C24" s="486">
        <v>307</v>
      </c>
      <c r="D24" s="924">
        <f>'A3. Peel Region Grants'!E40</f>
        <v>0</v>
      </c>
      <c r="E24" s="928">
        <f>'A3. Peel Region Grants'!G40</f>
        <v>0</v>
      </c>
      <c r="F24" s="489">
        <f>D24-E24</f>
        <v>0</v>
      </c>
      <c r="H24" s="582" t="s">
        <v>899</v>
      </c>
    </row>
    <row r="25" spans="2:8">
      <c r="B25" s="20" t="s">
        <v>821</v>
      </c>
      <c r="C25" s="486">
        <v>308</v>
      </c>
      <c r="D25" s="924">
        <f>IFERROR('A7. 2025 CWELCC &amp; OTEF Recon'!C118,0)</f>
        <v>0</v>
      </c>
      <c r="E25" s="925">
        <f>D25</f>
        <v>0</v>
      </c>
      <c r="F25" s="489">
        <f>D25-E25</f>
        <v>0</v>
      </c>
      <c r="H25" s="582" t="s">
        <v>899</v>
      </c>
    </row>
    <row r="26" spans="2:8" ht="15.75" hidden="1" customHeight="1">
      <c r="B26" s="20" t="s">
        <v>240</v>
      </c>
      <c r="C26" s="486">
        <v>309</v>
      </c>
      <c r="D26" s="924">
        <v>0</v>
      </c>
      <c r="E26" s="925"/>
      <c r="F26" s="489">
        <f>D26-E26</f>
        <v>0</v>
      </c>
      <c r="H26" s="12" t="s">
        <v>285</v>
      </c>
    </row>
    <row r="27" spans="2:8">
      <c r="B27" s="20" t="s">
        <v>822</v>
      </c>
      <c r="C27" s="486">
        <v>309</v>
      </c>
      <c r="D27" s="924">
        <f>'A3. Peel Region Grants'!D130</f>
        <v>0</v>
      </c>
      <c r="E27" s="925">
        <f>'A3. Peel Region Grants'!F130</f>
        <v>0</v>
      </c>
      <c r="F27" s="489">
        <f>D27-E27</f>
        <v>0</v>
      </c>
      <c r="H27" s="582" t="s">
        <v>899</v>
      </c>
    </row>
    <row r="28" spans="2:8">
      <c r="B28" s="442" t="s">
        <v>870</v>
      </c>
      <c r="C28" s="486">
        <v>310</v>
      </c>
      <c r="D28" s="104"/>
      <c r="E28" s="27"/>
      <c r="F28" s="489">
        <f>+D28-E28</f>
        <v>0</v>
      </c>
      <c r="H28" s="121" t="str">
        <f>IF(AND(ISNUMBER(D28), ISBLANK(E28)), "Error: Missing 0-6 amount", "")</f>
        <v/>
      </c>
    </row>
    <row r="29" spans="2:8">
      <c r="B29" s="442" t="s">
        <v>871</v>
      </c>
      <c r="C29" s="486">
        <v>311</v>
      </c>
      <c r="D29" s="104"/>
      <c r="E29" s="27"/>
      <c r="F29" s="489">
        <f>+D29-E29</f>
        <v>0</v>
      </c>
      <c r="H29" s="121" t="str">
        <f>IF(AND(ISNUMBER(D29), ISBLANK(E29)), "Error: Missing 0-6 amount", "")</f>
        <v/>
      </c>
    </row>
    <row r="30" spans="2:8" ht="16.5" customHeight="1" thickBot="1">
      <c r="B30" s="493" t="s">
        <v>177</v>
      </c>
      <c r="C30" s="494">
        <v>312</v>
      </c>
      <c r="D30" s="495">
        <f>SUM(D18:D29)</f>
        <v>0</v>
      </c>
      <c r="E30" s="496">
        <f>SUM(E18:E29)</f>
        <v>0</v>
      </c>
      <c r="F30" s="495">
        <f>SUM(F18:F29)</f>
        <v>0</v>
      </c>
      <c r="H30" s="537"/>
    </row>
    <row r="31" spans="2:8" ht="16.5" customHeight="1" thickBot="1">
      <c r="C31" s="497"/>
      <c r="D31" s="64"/>
      <c r="E31" s="64"/>
      <c r="F31" s="64"/>
    </row>
    <row r="32" spans="2:8" ht="18.5">
      <c r="B32" s="498" t="s">
        <v>425</v>
      </c>
      <c r="C32" s="65"/>
      <c r="D32" s="480" t="s">
        <v>173</v>
      </c>
      <c r="E32" s="480" t="s">
        <v>174</v>
      </c>
      <c r="F32" s="499" t="s">
        <v>175</v>
      </c>
    </row>
    <row r="33" spans="2:11" ht="16" thickBot="1">
      <c r="B33" s="500" t="s">
        <v>399</v>
      </c>
      <c r="C33" s="501"/>
      <c r="D33" s="502"/>
      <c r="E33" s="502" t="s">
        <v>816</v>
      </c>
      <c r="F33" s="503" t="s">
        <v>288</v>
      </c>
    </row>
    <row r="34" spans="2:11" ht="16.5" customHeight="1" thickBot="1">
      <c r="C34" s="17"/>
      <c r="D34" s="504"/>
      <c r="E34" s="505"/>
      <c r="H34" s="1090" t="s">
        <v>391</v>
      </c>
    </row>
    <row r="35" spans="2:11" ht="16" thickBot="1">
      <c r="B35" s="506" t="s">
        <v>478</v>
      </c>
      <c r="C35" s="507">
        <v>411</v>
      </c>
      <c r="D35" s="508">
        <f>+D37+D45+D53</f>
        <v>0</v>
      </c>
      <c r="E35" s="508">
        <f>+E37+E45+E53</f>
        <v>0</v>
      </c>
      <c r="F35" s="508">
        <f>+F37+F45+F53</f>
        <v>0</v>
      </c>
      <c r="H35" s="1091"/>
    </row>
    <row r="36" spans="2:11" ht="16.5" customHeight="1" thickBot="1">
      <c r="C36" s="497"/>
      <c r="D36" s="64"/>
      <c r="E36" s="64"/>
      <c r="F36" s="64"/>
    </row>
    <row r="37" spans="2:11" ht="16" thickBot="1">
      <c r="B37" s="118" t="s">
        <v>729</v>
      </c>
      <c r="C37" s="120" t="s">
        <v>41</v>
      </c>
      <c r="D37" s="508">
        <f>SUM(D38:D44)</f>
        <v>0</v>
      </c>
      <c r="E37" s="508">
        <f>SUM(E38:E44)</f>
        <v>0</v>
      </c>
      <c r="F37" s="508">
        <f>SUM(F38:F44)</f>
        <v>0</v>
      </c>
      <c r="H37" s="517"/>
      <c r="I37" s="9" t="str">
        <f t="shared" ref="I37:I52" si="0">IF(AND(ISNUMBER(D37), ISBLANK(E37)), "Error: Missing 0-6 amount", "")</f>
        <v/>
      </c>
    </row>
    <row r="38" spans="2:11" ht="14.5" customHeight="1">
      <c r="B38" s="285" t="s">
        <v>547</v>
      </c>
      <c r="C38" s="109" t="s">
        <v>42</v>
      </c>
      <c r="D38" s="573"/>
      <c r="E38" s="573"/>
      <c r="F38" s="572">
        <f t="shared" ref="F38:F44" si="1">+D38-E38</f>
        <v>0</v>
      </c>
      <c r="H38" s="460"/>
      <c r="I38" s="121" t="str">
        <f t="shared" si="0"/>
        <v/>
      </c>
      <c r="K38" s="10"/>
    </row>
    <row r="39" spans="2:11" ht="14.5" customHeight="1">
      <c r="B39" s="896" t="s">
        <v>900</v>
      </c>
      <c r="C39" s="116" t="s">
        <v>901</v>
      </c>
      <c r="D39" s="573"/>
      <c r="E39" s="573"/>
      <c r="F39" s="572">
        <f t="shared" si="1"/>
        <v>0</v>
      </c>
      <c r="H39" s="460"/>
      <c r="I39" s="121" t="str">
        <f t="shared" si="0"/>
        <v/>
      </c>
      <c r="K39" s="10"/>
    </row>
    <row r="40" spans="2:11">
      <c r="B40" s="285" t="s">
        <v>904</v>
      </c>
      <c r="C40" s="109" t="s">
        <v>43</v>
      </c>
      <c r="D40" s="27"/>
      <c r="E40" s="27"/>
      <c r="F40" s="509">
        <f t="shared" si="1"/>
        <v>0</v>
      </c>
      <c r="H40" s="460"/>
      <c r="I40" s="121" t="str">
        <f t="shared" si="0"/>
        <v/>
      </c>
      <c r="K40" s="10"/>
    </row>
    <row r="41" spans="2:11">
      <c r="B41" s="285" t="s">
        <v>852</v>
      </c>
      <c r="C41" s="109" t="s">
        <v>44</v>
      </c>
      <c r="D41" s="27"/>
      <c r="E41" s="27"/>
      <c r="F41" s="509">
        <f t="shared" si="1"/>
        <v>0</v>
      </c>
      <c r="H41" s="460"/>
      <c r="I41" s="121" t="str">
        <f t="shared" si="0"/>
        <v/>
      </c>
      <c r="K41" s="10"/>
    </row>
    <row r="42" spans="2:11">
      <c r="B42" s="285" t="s">
        <v>954</v>
      </c>
      <c r="C42" s="109" t="s">
        <v>798</v>
      </c>
      <c r="D42" s="27"/>
      <c r="E42" s="27"/>
      <c r="F42" s="509">
        <f t="shared" si="1"/>
        <v>0</v>
      </c>
      <c r="H42" s="460"/>
      <c r="I42" s="121" t="str">
        <f t="shared" si="0"/>
        <v/>
      </c>
      <c r="K42" s="10"/>
    </row>
    <row r="43" spans="2:11">
      <c r="B43" s="285" t="s">
        <v>553</v>
      </c>
      <c r="C43" s="116" t="s">
        <v>799</v>
      </c>
      <c r="D43" s="27"/>
      <c r="E43" s="27"/>
      <c r="F43" s="509">
        <f t="shared" si="1"/>
        <v>0</v>
      </c>
      <c r="H43" s="460"/>
      <c r="I43" s="121" t="str">
        <f t="shared" si="0"/>
        <v/>
      </c>
      <c r="K43" s="10"/>
    </row>
    <row r="44" spans="2:11" ht="16" thickBot="1">
      <c r="B44" s="550" t="s">
        <v>865</v>
      </c>
      <c r="C44" s="110" t="s">
        <v>801</v>
      </c>
      <c r="D44" s="27"/>
      <c r="E44" s="27"/>
      <c r="F44" s="511">
        <f t="shared" si="1"/>
        <v>0</v>
      </c>
      <c r="H44" s="461"/>
      <c r="I44" s="121" t="str">
        <f t="shared" si="0"/>
        <v/>
      </c>
      <c r="K44" s="10"/>
    </row>
    <row r="45" spans="2:11" ht="16" thickBot="1">
      <c r="B45" s="118" t="s">
        <v>559</v>
      </c>
      <c r="C45" s="108" t="s">
        <v>800</v>
      </c>
      <c r="D45" s="508">
        <f>SUM(D46:D52)</f>
        <v>0</v>
      </c>
      <c r="E45" s="508">
        <f>SUM(E46:E52)</f>
        <v>0</v>
      </c>
      <c r="F45" s="508">
        <f>SUM(F46:F52)</f>
        <v>0</v>
      </c>
      <c r="H45" s="517"/>
      <c r="I45" s="121" t="str">
        <f t="shared" si="0"/>
        <v/>
      </c>
    </row>
    <row r="46" spans="2:11">
      <c r="B46" s="285" t="s">
        <v>560</v>
      </c>
      <c r="C46" s="116" t="s">
        <v>802</v>
      </c>
      <c r="D46" s="573"/>
      <c r="E46" s="573"/>
      <c r="F46" s="572">
        <f t="shared" ref="F46:F52" si="2">+D46-E46</f>
        <v>0</v>
      </c>
      <c r="H46" s="462"/>
      <c r="I46" s="121" t="str">
        <f t="shared" si="0"/>
        <v/>
      </c>
      <c r="K46" s="10"/>
    </row>
    <row r="47" spans="2:11">
      <c r="B47" s="896" t="s">
        <v>903</v>
      </c>
      <c r="C47" s="116" t="s">
        <v>902</v>
      </c>
      <c r="D47" s="573"/>
      <c r="E47" s="573"/>
      <c r="F47" s="509">
        <f t="shared" si="2"/>
        <v>0</v>
      </c>
      <c r="H47" s="462"/>
      <c r="I47" s="121" t="str">
        <f t="shared" si="0"/>
        <v/>
      </c>
      <c r="K47" s="10"/>
    </row>
    <row r="48" spans="2:11">
      <c r="B48" s="285" t="s">
        <v>905</v>
      </c>
      <c r="C48" s="116" t="s">
        <v>803</v>
      </c>
      <c r="D48" s="27"/>
      <c r="E48" s="27"/>
      <c r="F48" s="509">
        <f t="shared" si="2"/>
        <v>0</v>
      </c>
      <c r="H48" s="462"/>
      <c r="I48" s="121" t="str">
        <f t="shared" si="0"/>
        <v/>
      </c>
      <c r="K48" s="10"/>
    </row>
    <row r="49" spans="2:11">
      <c r="B49" s="285" t="s">
        <v>853</v>
      </c>
      <c r="C49" s="116" t="s">
        <v>804</v>
      </c>
      <c r="D49" s="27"/>
      <c r="E49" s="27"/>
      <c r="F49" s="509">
        <f t="shared" si="2"/>
        <v>0</v>
      </c>
      <c r="H49" s="462"/>
      <c r="I49" s="121" t="str">
        <f t="shared" si="0"/>
        <v/>
      </c>
      <c r="K49" s="10"/>
    </row>
    <row r="50" spans="2:11">
      <c r="B50" s="285" t="s">
        <v>955</v>
      </c>
      <c r="C50" s="116" t="s">
        <v>805</v>
      </c>
      <c r="D50" s="27"/>
      <c r="E50" s="27"/>
      <c r="F50" s="509">
        <f t="shared" si="2"/>
        <v>0</v>
      </c>
      <c r="H50" s="462"/>
      <c r="I50" s="121" t="str">
        <f t="shared" si="0"/>
        <v/>
      </c>
      <c r="K50" s="10"/>
    </row>
    <row r="51" spans="2:11">
      <c r="B51" s="285" t="s">
        <v>566</v>
      </c>
      <c r="C51" s="116" t="s">
        <v>806</v>
      </c>
      <c r="D51" s="27"/>
      <c r="E51" s="27"/>
      <c r="F51" s="509">
        <f t="shared" si="2"/>
        <v>0</v>
      </c>
      <c r="H51" s="462"/>
      <c r="I51" s="121" t="str">
        <f t="shared" si="0"/>
        <v/>
      </c>
      <c r="K51" s="10"/>
    </row>
    <row r="52" spans="2:11" ht="16" thickBot="1">
      <c r="B52" s="550" t="s">
        <v>864</v>
      </c>
      <c r="C52" s="110" t="s">
        <v>807</v>
      </c>
      <c r="D52" s="27"/>
      <c r="E52" s="27"/>
      <c r="F52" s="511">
        <f t="shared" si="2"/>
        <v>0</v>
      </c>
      <c r="H52" s="461"/>
      <c r="I52" s="121" t="str">
        <f t="shared" si="0"/>
        <v/>
      </c>
      <c r="K52" s="10"/>
    </row>
    <row r="53" spans="2:11" ht="16" thickBot="1">
      <c r="B53" s="118" t="s">
        <v>730</v>
      </c>
      <c r="C53" s="108" t="s">
        <v>808</v>
      </c>
      <c r="D53" s="561">
        <f>SUM(D54:D60)</f>
        <v>0</v>
      </c>
      <c r="E53" s="561">
        <f>SUM(E54:E60)</f>
        <v>0</v>
      </c>
      <c r="F53" s="508">
        <f>SUM(F54:F60)</f>
        <v>0</v>
      </c>
      <c r="H53" s="517"/>
    </row>
    <row r="54" spans="2:11">
      <c r="B54" s="512" t="s">
        <v>825</v>
      </c>
      <c r="C54" s="116" t="s">
        <v>809</v>
      </c>
      <c r="D54" s="562"/>
      <c r="E54" s="562"/>
      <c r="F54" s="572">
        <f t="shared" ref="F54:F60" si="3">+D54-E54</f>
        <v>0</v>
      </c>
      <c r="H54" s="462"/>
      <c r="I54" s="121" t="str">
        <f t="shared" ref="I54:I59" si="4">IF(AND(ISNUMBER(D54), ISBLANK(E54)), "Error: Missing 0-6 amount", "")</f>
        <v/>
      </c>
      <c r="K54" s="10"/>
    </row>
    <row r="55" spans="2:11">
      <c r="B55" s="512" t="s">
        <v>826</v>
      </c>
      <c r="C55" s="116" t="s">
        <v>810</v>
      </c>
      <c r="D55" s="27"/>
      <c r="E55" s="27"/>
      <c r="F55" s="509">
        <f t="shared" si="3"/>
        <v>0</v>
      </c>
      <c r="H55" s="462"/>
      <c r="I55" s="121" t="str">
        <f t="shared" si="4"/>
        <v/>
      </c>
      <c r="K55" s="10"/>
    </row>
    <row r="56" spans="2:11">
      <c r="B56" s="513" t="s">
        <v>745</v>
      </c>
      <c r="C56" s="116" t="s">
        <v>811</v>
      </c>
      <c r="D56" s="27"/>
      <c r="E56" s="27"/>
      <c r="F56" s="509">
        <f t="shared" si="3"/>
        <v>0</v>
      </c>
      <c r="H56" s="462"/>
      <c r="I56" s="121" t="str">
        <f t="shared" si="4"/>
        <v/>
      </c>
      <c r="K56" s="10"/>
    </row>
    <row r="57" spans="2:11">
      <c r="B57" s="513" t="s">
        <v>827</v>
      </c>
      <c r="C57" s="116" t="s">
        <v>860</v>
      </c>
      <c r="D57" s="27"/>
      <c r="E57" s="27"/>
      <c r="F57" s="514">
        <f t="shared" si="3"/>
        <v>0</v>
      </c>
      <c r="H57" s="462"/>
      <c r="I57" s="121" t="str">
        <f t="shared" si="4"/>
        <v/>
      </c>
      <c r="K57" s="10"/>
    </row>
    <row r="58" spans="2:11">
      <c r="B58" s="513" t="s">
        <v>854</v>
      </c>
      <c r="C58" s="116" t="s">
        <v>861</v>
      </c>
      <c r="D58" s="27"/>
      <c r="E58" s="27"/>
      <c r="F58" s="514">
        <f t="shared" si="3"/>
        <v>0</v>
      </c>
      <c r="H58" s="462"/>
      <c r="I58" s="121" t="str">
        <f t="shared" si="4"/>
        <v/>
      </c>
      <c r="K58" s="10"/>
    </row>
    <row r="59" spans="2:11">
      <c r="B59" s="513" t="s">
        <v>855</v>
      </c>
      <c r="C59" s="116" t="s">
        <v>862</v>
      </c>
      <c r="D59" s="27"/>
      <c r="E59" s="27"/>
      <c r="F59" s="514">
        <f t="shared" si="3"/>
        <v>0</v>
      </c>
      <c r="H59" s="462"/>
      <c r="I59" s="121" t="str">
        <f t="shared" si="4"/>
        <v/>
      </c>
      <c r="K59" s="10"/>
    </row>
    <row r="60" spans="2:11" ht="16" thickBot="1">
      <c r="B60" s="549" t="s">
        <v>731</v>
      </c>
      <c r="C60" s="110" t="s">
        <v>863</v>
      </c>
      <c r="D60" s="111"/>
      <c r="E60" s="111"/>
      <c r="F60" s="511">
        <f t="shared" si="3"/>
        <v>0</v>
      </c>
      <c r="H60" s="461"/>
      <c r="I60" s="121" t="str">
        <f>IF(AND(ISNUMBER(D60), ISBLANK(E60)), "Error: Missing 0-6 amount", "")</f>
        <v/>
      </c>
      <c r="K60" s="10"/>
    </row>
    <row r="61" spans="2:11" s="12" customFormat="1" ht="16" thickBot="1">
      <c r="B61" s="14"/>
      <c r="C61" s="14"/>
      <c r="D61" s="14"/>
      <c r="E61" s="14"/>
      <c r="F61" s="14"/>
      <c r="G61" s="14"/>
      <c r="H61" s="515"/>
      <c r="K61" s="10"/>
    </row>
    <row r="62" spans="2:11" ht="16" thickBot="1">
      <c r="B62" s="516" t="s">
        <v>46</v>
      </c>
      <c r="C62" s="108">
        <v>421</v>
      </c>
      <c r="D62" s="561">
        <f>SUM(D63:D69)</f>
        <v>0</v>
      </c>
      <c r="E62" s="561">
        <f>SUM(E63:E69)</f>
        <v>0</v>
      </c>
      <c r="F62" s="508">
        <f>SUM(F63:F69)</f>
        <v>0</v>
      </c>
      <c r="H62" s="517"/>
      <c r="I62" s="518"/>
      <c r="K62" s="10"/>
    </row>
    <row r="63" spans="2:11">
      <c r="B63" s="26" t="s">
        <v>179</v>
      </c>
      <c r="C63" s="109" t="s">
        <v>47</v>
      </c>
      <c r="D63" s="562"/>
      <c r="E63" s="562"/>
      <c r="F63" s="572">
        <f t="shared" ref="F63:F69" si="5">+D63-E63</f>
        <v>0</v>
      </c>
      <c r="H63" s="463"/>
      <c r="I63" s="121" t="str">
        <f>IF(AND(ISNUMBER(D63), ISBLANK(E63)), "Error: Missing 0-6 amount", "")</f>
        <v/>
      </c>
      <c r="K63" s="10"/>
    </row>
    <row r="64" spans="2:11">
      <c r="B64" s="26" t="s">
        <v>180</v>
      </c>
      <c r="C64" s="109" t="s">
        <v>49</v>
      </c>
      <c r="D64" s="27"/>
      <c r="E64" s="27"/>
      <c r="F64" s="509">
        <f t="shared" si="5"/>
        <v>0</v>
      </c>
      <c r="H64" s="460"/>
      <c r="I64" s="121" t="str">
        <f t="shared" ref="I64:I69" si="6">IF(AND(ISNUMBER(D64), ISBLANK(E64)), "Error: Missing 0-6 amount", "")</f>
        <v/>
      </c>
      <c r="K64" s="10"/>
    </row>
    <row r="65" spans="2:11">
      <c r="B65" s="26" t="s">
        <v>181</v>
      </c>
      <c r="C65" s="109" t="s">
        <v>50</v>
      </c>
      <c r="D65" s="27"/>
      <c r="E65" s="27"/>
      <c r="F65" s="509">
        <f t="shared" si="5"/>
        <v>0</v>
      </c>
      <c r="H65" s="460"/>
      <c r="I65" s="121" t="str">
        <f t="shared" si="6"/>
        <v/>
      </c>
      <c r="K65" s="10"/>
    </row>
    <row r="66" spans="2:11">
      <c r="B66" s="26" t="s">
        <v>182</v>
      </c>
      <c r="C66" s="109" t="s">
        <v>51</v>
      </c>
      <c r="D66" s="27"/>
      <c r="E66" s="27"/>
      <c r="F66" s="509">
        <f t="shared" si="5"/>
        <v>0</v>
      </c>
      <c r="H66" s="460"/>
      <c r="I66" s="121" t="str">
        <f t="shared" si="6"/>
        <v/>
      </c>
      <c r="K66" s="10"/>
    </row>
    <row r="67" spans="2:11">
      <c r="B67" s="26" t="s">
        <v>183</v>
      </c>
      <c r="C67" s="109" t="s">
        <v>184</v>
      </c>
      <c r="D67" s="27"/>
      <c r="E67" s="27"/>
      <c r="F67" s="509">
        <f t="shared" si="5"/>
        <v>0</v>
      </c>
      <c r="H67" s="463"/>
      <c r="I67" s="121" t="str">
        <f t="shared" si="6"/>
        <v/>
      </c>
      <c r="K67" s="10"/>
    </row>
    <row r="68" spans="2:11">
      <c r="B68" s="26" t="s">
        <v>185</v>
      </c>
      <c r="C68" s="109" t="s">
        <v>52</v>
      </c>
      <c r="D68" s="27"/>
      <c r="E68" s="27"/>
      <c r="F68" s="509">
        <f t="shared" si="5"/>
        <v>0</v>
      </c>
      <c r="H68" s="460"/>
      <c r="I68" s="121" t="str">
        <f t="shared" si="6"/>
        <v/>
      </c>
      <c r="K68" s="10"/>
    </row>
    <row r="69" spans="2:11" ht="16" thickBot="1">
      <c r="B69" s="115" t="s">
        <v>178</v>
      </c>
      <c r="C69" s="110" t="s">
        <v>48</v>
      </c>
      <c r="D69" s="111"/>
      <c r="E69" s="111"/>
      <c r="F69" s="511">
        <f t="shared" si="5"/>
        <v>0</v>
      </c>
      <c r="H69" s="461"/>
      <c r="I69" s="121" t="str">
        <f t="shared" si="6"/>
        <v/>
      </c>
      <c r="K69" s="10"/>
    </row>
    <row r="70" spans="2:11" s="12" customFormat="1" ht="16" thickBot="1">
      <c r="B70" s="9"/>
      <c r="C70" s="9"/>
      <c r="D70" s="9"/>
      <c r="E70" s="9"/>
      <c r="F70" s="9"/>
      <c r="H70" s="519"/>
      <c r="K70" s="10"/>
    </row>
    <row r="71" spans="2:11" s="12" customFormat="1" ht="16" thickBot="1">
      <c r="B71" s="516" t="s">
        <v>53</v>
      </c>
      <c r="C71" s="108">
        <v>431</v>
      </c>
      <c r="D71" s="508">
        <f>SUM(D72:D74)</f>
        <v>0</v>
      </c>
      <c r="E71" s="508">
        <f>SUM(E72:E74)</f>
        <v>0</v>
      </c>
      <c r="F71" s="508">
        <f>SUM(F72:F74)</f>
        <v>0</v>
      </c>
      <c r="H71" s="520"/>
      <c r="K71" s="10"/>
    </row>
    <row r="72" spans="2:11" s="12" customFormat="1">
      <c r="B72" s="26" t="s">
        <v>186</v>
      </c>
      <c r="C72" s="109" t="s">
        <v>54</v>
      </c>
      <c r="D72" s="573"/>
      <c r="E72" s="573">
        <f>IFERROR(+D72*'A2.Allocation &amp; Operating Plan'!C$49,0)</f>
        <v>0</v>
      </c>
      <c r="F72" s="572">
        <f t="shared" ref="F72:F101" si="7">+D72-E72</f>
        <v>0</v>
      </c>
      <c r="G72" s="9"/>
      <c r="H72" s="460"/>
      <c r="K72" s="10"/>
    </row>
    <row r="73" spans="2:11">
      <c r="B73" s="26" t="s">
        <v>187</v>
      </c>
      <c r="C73" s="109" t="s">
        <v>55</v>
      </c>
      <c r="D73" s="27"/>
      <c r="E73" s="27">
        <f>IFERROR(+D73*'A2.Allocation &amp; Operating Plan'!C$49,0)</f>
        <v>0</v>
      </c>
      <c r="F73" s="509">
        <f t="shared" si="7"/>
        <v>0</v>
      </c>
      <c r="G73" s="12"/>
      <c r="H73" s="460"/>
      <c r="K73" s="10"/>
    </row>
    <row r="74" spans="2:11" s="12" customFormat="1" ht="16" thickBot="1">
      <c r="B74" s="115" t="s">
        <v>178</v>
      </c>
      <c r="C74" s="110" t="s">
        <v>188</v>
      </c>
      <c r="D74" s="111"/>
      <c r="E74" s="111">
        <f>IFERROR(+D74*'A2.Allocation &amp; Operating Plan'!C$49,0)</f>
        <v>0</v>
      </c>
      <c r="F74" s="511">
        <f t="shared" si="7"/>
        <v>0</v>
      </c>
      <c r="G74" s="9"/>
      <c r="H74" s="461"/>
      <c r="K74" s="10"/>
    </row>
    <row r="75" spans="2:11" ht="16" thickBot="1">
      <c r="G75" s="12"/>
      <c r="H75" s="519"/>
      <c r="K75" s="10"/>
    </row>
    <row r="76" spans="2:11" s="12" customFormat="1" ht="16" thickBot="1">
      <c r="B76" s="516" t="s">
        <v>56</v>
      </c>
      <c r="C76" s="108">
        <v>441</v>
      </c>
      <c r="D76" s="508">
        <f>SUM(D77:D78)</f>
        <v>0</v>
      </c>
      <c r="E76" s="508">
        <f>SUM(E77:E78)</f>
        <v>0</v>
      </c>
      <c r="F76" s="508">
        <f>SUM(F77:F78)</f>
        <v>0</v>
      </c>
      <c r="H76" s="520"/>
      <c r="K76" s="10"/>
    </row>
    <row r="77" spans="2:11" s="12" customFormat="1">
      <c r="B77" s="26" t="s">
        <v>189</v>
      </c>
      <c r="C77" s="109" t="s">
        <v>57</v>
      </c>
      <c r="D77" s="573"/>
      <c r="E77" s="573">
        <f>IFERROR(+D77*'A2.Allocation &amp; Operating Plan'!C$49,0)</f>
        <v>0</v>
      </c>
      <c r="F77" s="572">
        <f t="shared" si="7"/>
        <v>0</v>
      </c>
      <c r="G77" s="9"/>
      <c r="H77" s="460"/>
      <c r="K77" s="10"/>
    </row>
    <row r="78" spans="2:11" s="12" customFormat="1" ht="16" thickBot="1">
      <c r="B78" s="115" t="s">
        <v>178</v>
      </c>
      <c r="C78" s="110" t="s">
        <v>190</v>
      </c>
      <c r="D78" s="111"/>
      <c r="E78" s="111">
        <f>IFERROR(+D78*'A2.Allocation &amp; Operating Plan'!C$49,0)</f>
        <v>0</v>
      </c>
      <c r="F78" s="511">
        <f t="shared" si="7"/>
        <v>0</v>
      </c>
      <c r="G78" s="9"/>
      <c r="H78" s="461"/>
      <c r="K78" s="10"/>
    </row>
    <row r="79" spans="2:11" ht="15.75" customHeight="1" thickBot="1">
      <c r="H79" s="519"/>
      <c r="K79" s="10"/>
    </row>
    <row r="80" spans="2:11" ht="15" customHeight="1" thickBot="1">
      <c r="B80" s="516" t="s">
        <v>58</v>
      </c>
      <c r="C80" s="108">
        <v>451</v>
      </c>
      <c r="D80" s="508">
        <f>SUM(D81:D101)</f>
        <v>0</v>
      </c>
      <c r="E80" s="508">
        <f>SUM(E81:E101)</f>
        <v>0</v>
      </c>
      <c r="F80" s="508">
        <f>SUM(F81:F101)</f>
        <v>0</v>
      </c>
      <c r="H80" s="520"/>
      <c r="K80" s="10"/>
    </row>
    <row r="81" spans="2:11" ht="14.5" customHeight="1">
      <c r="B81" s="26" t="s">
        <v>191</v>
      </c>
      <c r="C81" s="109" t="s">
        <v>59</v>
      </c>
      <c r="D81" s="573"/>
      <c r="E81" s="573">
        <f>IFERROR(+D81*'A2.Allocation &amp; Operating Plan'!C$49,0)</f>
        <v>0</v>
      </c>
      <c r="F81" s="572">
        <f t="shared" si="7"/>
        <v>0</v>
      </c>
      <c r="H81" s="460"/>
      <c r="K81" s="10"/>
    </row>
    <row r="82" spans="2:11" ht="14.5" customHeight="1">
      <c r="B82" s="521" t="s">
        <v>834</v>
      </c>
      <c r="C82" s="109" t="s">
        <v>60</v>
      </c>
      <c r="D82" s="27"/>
      <c r="E82" s="27">
        <f>IFERROR(+D82*'A2.Allocation &amp; Operating Plan'!C$49,0)</f>
        <v>0</v>
      </c>
      <c r="F82" s="509">
        <f t="shared" si="7"/>
        <v>0</v>
      </c>
      <c r="H82" s="460"/>
      <c r="K82" s="10"/>
    </row>
    <row r="83" spans="2:11" ht="14.5" customHeight="1">
      <c r="B83" s="521" t="s">
        <v>835</v>
      </c>
      <c r="C83" s="109" t="s">
        <v>415</v>
      </c>
      <c r="D83" s="27"/>
      <c r="E83" s="27">
        <f>IFERROR(+D83*'A2.Allocation &amp; Operating Plan'!C$49,0)</f>
        <v>0</v>
      </c>
      <c r="F83" s="509">
        <f t="shared" si="7"/>
        <v>0</v>
      </c>
      <c r="H83" s="460"/>
      <c r="K83" s="10"/>
    </row>
    <row r="84" spans="2:11">
      <c r="B84" s="26" t="s">
        <v>192</v>
      </c>
      <c r="C84" s="109" t="s">
        <v>61</v>
      </c>
      <c r="D84" s="27"/>
      <c r="E84" s="27">
        <f>IFERROR(+D84*'A2.Allocation &amp; Operating Plan'!C$49,0)</f>
        <v>0</v>
      </c>
      <c r="F84" s="509">
        <f t="shared" si="7"/>
        <v>0</v>
      </c>
      <c r="H84" s="460"/>
      <c r="K84" s="10"/>
    </row>
    <row r="85" spans="2:11">
      <c r="B85" s="26" t="s">
        <v>193</v>
      </c>
      <c r="C85" s="109" t="s">
        <v>62</v>
      </c>
      <c r="D85" s="27"/>
      <c r="E85" s="27">
        <f>IFERROR(+D85*'A2.Allocation &amp; Operating Plan'!C$49,0)</f>
        <v>0</v>
      </c>
      <c r="F85" s="509">
        <f>+D85-E85</f>
        <v>0</v>
      </c>
      <c r="H85" s="460"/>
      <c r="K85" s="10"/>
    </row>
    <row r="86" spans="2:11">
      <c r="B86" s="26" t="s">
        <v>194</v>
      </c>
      <c r="C86" s="109" t="s">
        <v>63</v>
      </c>
      <c r="D86" s="27"/>
      <c r="E86" s="27">
        <f>IFERROR(+D86*'A2.Allocation &amp; Operating Plan'!C$49,0)</f>
        <v>0</v>
      </c>
      <c r="F86" s="509">
        <f>+D86-E86</f>
        <v>0</v>
      </c>
      <c r="H86" s="460"/>
      <c r="K86" s="10"/>
    </row>
    <row r="87" spans="2:11">
      <c r="B87" s="26" t="s">
        <v>241</v>
      </c>
      <c r="C87" s="109" t="s">
        <v>64</v>
      </c>
      <c r="D87" s="27"/>
      <c r="E87" s="27">
        <f>IFERROR(+D87*'A2.Allocation &amp; Operating Plan'!C$49,0)</f>
        <v>0</v>
      </c>
      <c r="F87" s="509">
        <f t="shared" si="7"/>
        <v>0</v>
      </c>
      <c r="H87" s="460"/>
      <c r="K87" s="10"/>
    </row>
    <row r="88" spans="2:11">
      <c r="B88" s="26" t="s">
        <v>195</v>
      </c>
      <c r="C88" s="109" t="s">
        <v>65</v>
      </c>
      <c r="D88" s="27"/>
      <c r="E88" s="27">
        <f>IFERROR(+D88*'A2.Allocation &amp; Operating Plan'!C$49,0)</f>
        <v>0</v>
      </c>
      <c r="F88" s="509">
        <f t="shared" si="7"/>
        <v>0</v>
      </c>
      <c r="H88" s="460"/>
      <c r="K88" s="10"/>
    </row>
    <row r="89" spans="2:11">
      <c r="B89" s="20" t="s">
        <v>732</v>
      </c>
      <c r="C89" s="109" t="s">
        <v>66</v>
      </c>
      <c r="D89" s="27"/>
      <c r="E89" s="27">
        <f>IFERROR(+D89*'A2.Allocation &amp; Operating Plan'!C$49,0)</f>
        <v>0</v>
      </c>
      <c r="F89" s="509">
        <f t="shared" si="7"/>
        <v>0</v>
      </c>
      <c r="H89" s="460"/>
      <c r="K89" s="10"/>
    </row>
    <row r="90" spans="2:11">
      <c r="B90" s="20" t="s">
        <v>196</v>
      </c>
      <c r="C90" s="109" t="s">
        <v>67</v>
      </c>
      <c r="D90" s="27"/>
      <c r="E90" s="27">
        <f>IFERROR(+D90*'A2.Allocation &amp; Operating Plan'!C$49,0)</f>
        <v>0</v>
      </c>
      <c r="F90" s="509">
        <f t="shared" si="7"/>
        <v>0</v>
      </c>
      <c r="H90" s="460"/>
      <c r="K90" s="10"/>
    </row>
    <row r="91" spans="2:11">
      <c r="B91" s="26" t="s">
        <v>197</v>
      </c>
      <c r="C91" s="109" t="s">
        <v>68</v>
      </c>
      <c r="D91" s="27"/>
      <c r="E91" s="27">
        <f>IFERROR(+D91*'A2.Allocation &amp; Operating Plan'!C$49,0)</f>
        <v>0</v>
      </c>
      <c r="F91" s="509">
        <f t="shared" si="7"/>
        <v>0</v>
      </c>
      <c r="H91" s="460"/>
      <c r="K91" s="10"/>
    </row>
    <row r="92" spans="2:11">
      <c r="B92" s="26" t="s">
        <v>198</v>
      </c>
      <c r="C92" s="109" t="s">
        <v>69</v>
      </c>
      <c r="D92" s="27"/>
      <c r="E92" s="27">
        <f>IFERROR(+D92*'A2.Allocation &amp; Operating Plan'!C$49,0)</f>
        <v>0</v>
      </c>
      <c r="F92" s="509">
        <f t="shared" si="7"/>
        <v>0</v>
      </c>
      <c r="H92" s="460"/>
      <c r="K92" s="10"/>
    </row>
    <row r="93" spans="2:11">
      <c r="B93" s="26" t="s">
        <v>199</v>
      </c>
      <c r="C93" s="109" t="s">
        <v>70</v>
      </c>
      <c r="D93" s="27"/>
      <c r="E93" s="27">
        <f>IFERROR(+D93*'A2.Allocation &amp; Operating Plan'!C$49,0)</f>
        <v>0</v>
      </c>
      <c r="F93" s="509">
        <f t="shared" si="7"/>
        <v>0</v>
      </c>
      <c r="G93" s="12"/>
      <c r="H93" s="460"/>
      <c r="K93" s="10"/>
    </row>
    <row r="94" spans="2:11" s="12" customFormat="1">
      <c r="B94" s="26" t="s">
        <v>200</v>
      </c>
      <c r="C94" s="109" t="s">
        <v>71</v>
      </c>
      <c r="D94" s="27"/>
      <c r="E94" s="27">
        <f>IFERROR(+D94*'A2.Allocation &amp; Operating Plan'!C$49,0)</f>
        <v>0</v>
      </c>
      <c r="F94" s="509">
        <f t="shared" si="7"/>
        <v>0</v>
      </c>
      <c r="G94" s="9"/>
      <c r="H94" s="460"/>
      <c r="K94" s="10"/>
    </row>
    <row r="95" spans="2:11" s="12" customFormat="1">
      <c r="B95" s="20" t="s">
        <v>476</v>
      </c>
      <c r="C95" s="109" t="s">
        <v>475</v>
      </c>
      <c r="D95" s="27"/>
      <c r="E95" s="27">
        <f>IFERROR(+D95*'A2.Allocation &amp; Operating Plan'!C$49,0)</f>
        <v>0</v>
      </c>
      <c r="F95" s="509">
        <f t="shared" si="7"/>
        <v>0</v>
      </c>
      <c r="G95" s="9"/>
      <c r="H95" s="460"/>
      <c r="K95" s="10"/>
    </row>
    <row r="96" spans="2:11">
      <c r="B96" s="26" t="s">
        <v>201</v>
      </c>
      <c r="C96" s="109" t="s">
        <v>72</v>
      </c>
      <c r="D96" s="27"/>
      <c r="E96" s="27">
        <f>IFERROR(+D96*'A2.Allocation &amp; Operating Plan'!C$49,0)</f>
        <v>0</v>
      </c>
      <c r="F96" s="509">
        <f t="shared" si="7"/>
        <v>0</v>
      </c>
      <c r="H96" s="460"/>
      <c r="K96" s="10"/>
    </row>
    <row r="97" spans="2:11">
      <c r="B97" s="20" t="s">
        <v>202</v>
      </c>
      <c r="C97" s="109" t="s">
        <v>73</v>
      </c>
      <c r="D97" s="27"/>
      <c r="E97" s="27">
        <f>IFERROR(+D97*'A2.Allocation &amp; Operating Plan'!C$49,0)</f>
        <v>0</v>
      </c>
      <c r="F97" s="509">
        <f t="shared" si="7"/>
        <v>0</v>
      </c>
      <c r="H97" s="460"/>
      <c r="K97" s="10"/>
    </row>
    <row r="98" spans="2:11">
      <c r="B98" s="20" t="s">
        <v>477</v>
      </c>
      <c r="C98" s="109" t="s">
        <v>416</v>
      </c>
      <c r="D98" s="27"/>
      <c r="E98" s="27">
        <f>IFERROR(+D98*'A2.Allocation &amp; Operating Plan'!C$49,0)</f>
        <v>0</v>
      </c>
      <c r="F98" s="509">
        <f>+D98-E98</f>
        <v>0</v>
      </c>
      <c r="H98" s="460"/>
      <c r="K98" s="10"/>
    </row>
    <row r="99" spans="2:11" s="12" customFormat="1">
      <c r="B99" s="551" t="s">
        <v>178</v>
      </c>
      <c r="C99" s="109" t="s">
        <v>86</v>
      </c>
      <c r="D99" s="27"/>
      <c r="E99" s="27">
        <f>IFERROR(+D99*'A2.Allocation &amp; Operating Plan'!C$49,0)</f>
        <v>0</v>
      </c>
      <c r="F99" s="509">
        <f t="shared" si="7"/>
        <v>0</v>
      </c>
      <c r="G99" s="9"/>
      <c r="H99" s="460"/>
      <c r="K99" s="10"/>
    </row>
    <row r="100" spans="2:11" s="12" customFormat="1">
      <c r="B100" s="551" t="s">
        <v>178</v>
      </c>
      <c r="C100" s="109" t="s">
        <v>868</v>
      </c>
      <c r="D100" s="27"/>
      <c r="E100" s="27">
        <f>IFERROR(+D100*'A2.Allocation &amp; Operating Plan'!C$49,0)</f>
        <v>0</v>
      </c>
      <c r="F100" s="509">
        <f t="shared" ref="F100" si="8">+D100-E100</f>
        <v>0</v>
      </c>
      <c r="G100" s="9"/>
      <c r="H100" s="460"/>
      <c r="K100" s="10"/>
    </row>
    <row r="101" spans="2:11" ht="16" thickBot="1">
      <c r="B101" s="115" t="s">
        <v>178</v>
      </c>
      <c r="C101" s="110" t="s">
        <v>867</v>
      </c>
      <c r="D101" s="111"/>
      <c r="E101" s="111">
        <f>IFERROR(+D101*'A2.Allocation &amp; Operating Plan'!C$49,0)</f>
        <v>0</v>
      </c>
      <c r="F101" s="511">
        <f t="shared" si="7"/>
        <v>0</v>
      </c>
      <c r="H101" s="461"/>
      <c r="K101" s="10"/>
    </row>
    <row r="102" spans="2:11" ht="16" thickBot="1">
      <c r="G102" s="12"/>
      <c r="H102" s="519"/>
      <c r="K102" s="10"/>
    </row>
    <row r="103" spans="2:11" s="12" customFormat="1" ht="16" thickBot="1">
      <c r="B103" s="516" t="s">
        <v>139</v>
      </c>
      <c r="C103" s="108">
        <v>461</v>
      </c>
      <c r="D103" s="508">
        <f>SUM(D104:D108)</f>
        <v>0</v>
      </c>
      <c r="E103" s="508">
        <f>SUM(E104:E108)</f>
        <v>0</v>
      </c>
      <c r="F103" s="508">
        <f>SUM(F104:F108)</f>
        <v>0</v>
      </c>
      <c r="H103" s="520"/>
      <c r="K103" s="10"/>
    </row>
    <row r="104" spans="2:11" s="12" customFormat="1" hidden="1">
      <c r="B104" s="26" t="s">
        <v>203</v>
      </c>
      <c r="C104" s="109" t="s">
        <v>74</v>
      </c>
      <c r="D104" s="574"/>
      <c r="E104" s="575"/>
      <c r="F104" s="572">
        <f>+D104-E104</f>
        <v>0</v>
      </c>
      <c r="H104" s="510"/>
      <c r="K104" s="10"/>
    </row>
    <row r="105" spans="2:11" s="12" customFormat="1">
      <c r="B105" s="26" t="s">
        <v>204</v>
      </c>
      <c r="C105" s="109" t="s">
        <v>75</v>
      </c>
      <c r="D105" s="562"/>
      <c r="E105" s="27">
        <f>IFERROR(+D105*'A2.Allocation &amp; Operating Plan'!C$49,0)</f>
        <v>0</v>
      </c>
      <c r="F105" s="509">
        <f>+D105-E105</f>
        <v>0</v>
      </c>
      <c r="H105" s="460"/>
      <c r="K105" s="10"/>
    </row>
    <row r="106" spans="2:11" s="12" customFormat="1">
      <c r="B106" s="26" t="s">
        <v>205</v>
      </c>
      <c r="C106" s="109" t="s">
        <v>76</v>
      </c>
      <c r="D106" s="27"/>
      <c r="E106" s="27">
        <f>IFERROR(+D106*'A2.Allocation &amp; Operating Plan'!C$49,0)</f>
        <v>0</v>
      </c>
      <c r="F106" s="509">
        <f>+D106-E106</f>
        <v>0</v>
      </c>
      <c r="H106" s="460"/>
      <c r="K106" s="10"/>
    </row>
    <row r="107" spans="2:11" s="12" customFormat="1">
      <c r="B107" s="26" t="s">
        <v>206</v>
      </c>
      <c r="C107" s="109" t="s">
        <v>417</v>
      </c>
      <c r="D107" s="27"/>
      <c r="E107" s="27">
        <f>IFERROR(+D107*'A2.Allocation &amp; Operating Plan'!C$49,0)</f>
        <v>0</v>
      </c>
      <c r="F107" s="509">
        <f>+D107-E107</f>
        <v>0</v>
      </c>
      <c r="H107" s="460"/>
      <c r="K107" s="10"/>
    </row>
    <row r="108" spans="2:11" s="12" customFormat="1" ht="16" thickBot="1">
      <c r="B108" s="115" t="s">
        <v>178</v>
      </c>
      <c r="C108" s="110" t="s">
        <v>418</v>
      </c>
      <c r="D108" s="111"/>
      <c r="E108" s="111">
        <f>IFERROR(+D108*'A2.Allocation &amp; Operating Plan'!C$49,0)</f>
        <v>0</v>
      </c>
      <c r="F108" s="511">
        <f>+D108-E108</f>
        <v>0</v>
      </c>
      <c r="H108" s="461"/>
      <c r="K108" s="10"/>
    </row>
    <row r="109" spans="2:11" ht="16" thickBot="1">
      <c r="C109" s="12"/>
      <c r="D109" s="12"/>
      <c r="E109" s="522"/>
      <c r="F109" s="522"/>
      <c r="G109" s="12"/>
      <c r="H109" s="10"/>
    </row>
    <row r="110" spans="2:11" ht="16" thickBot="1">
      <c r="B110" s="516" t="s">
        <v>465</v>
      </c>
      <c r="C110" s="108">
        <v>465</v>
      </c>
      <c r="D110" s="508">
        <f>SUM(D111)</f>
        <v>0</v>
      </c>
      <c r="E110" s="508">
        <f>SUM(E111)</f>
        <v>0</v>
      </c>
      <c r="F110" s="508">
        <f>SUM(F111)</f>
        <v>0</v>
      </c>
    </row>
    <row r="111" spans="2:11" ht="16" thickBot="1">
      <c r="B111" s="523" t="s">
        <v>357</v>
      </c>
      <c r="C111" s="524" t="s">
        <v>876</v>
      </c>
      <c r="D111" s="576">
        <f>'A3. Peel Region Grants'!C114</f>
        <v>0</v>
      </c>
      <c r="E111" s="577">
        <f>D111-('A3. Peel Region Grants'!C114*'A3. Peel Region Grants'!D105)</f>
        <v>0</v>
      </c>
      <c r="F111" s="578">
        <f>D111-E111</f>
        <v>0</v>
      </c>
      <c r="H111" s="582" t="s">
        <v>899</v>
      </c>
      <c r="I111" s="14"/>
      <c r="J111" s="14"/>
      <c r="K111" s="14"/>
    </row>
    <row r="112" spans="2:11" ht="16" thickBot="1">
      <c r="C112" s="12"/>
      <c r="D112" s="12"/>
      <c r="E112" s="522"/>
      <c r="F112" s="522"/>
      <c r="G112" s="12"/>
      <c r="H112" s="10"/>
    </row>
    <row r="113" spans="2:8" s="12" customFormat="1" ht="16" thickBot="1">
      <c r="B113" s="525" t="s">
        <v>77</v>
      </c>
      <c r="C113" s="108">
        <v>471</v>
      </c>
      <c r="D113" s="508">
        <f>SUM(D114:D116)</f>
        <v>0</v>
      </c>
      <c r="E113" s="508">
        <f>SUM(E114:E116)</f>
        <v>0</v>
      </c>
      <c r="F113" s="508"/>
      <c r="H113" s="9"/>
    </row>
    <row r="114" spans="2:8" s="12" customFormat="1">
      <c r="B114" s="105" t="s">
        <v>45</v>
      </c>
      <c r="C114" s="109" t="s">
        <v>419</v>
      </c>
      <c r="D114" s="573"/>
      <c r="E114" s="579">
        <f>D114</f>
        <v>0</v>
      </c>
      <c r="F114" s="580"/>
      <c r="H114" s="9"/>
    </row>
    <row r="115" spans="2:8" s="12" customFormat="1">
      <c r="B115" s="105" t="s">
        <v>45</v>
      </c>
      <c r="C115" s="109" t="s">
        <v>420</v>
      </c>
      <c r="D115" s="27"/>
      <c r="E115" s="492">
        <f>D115</f>
        <v>0</v>
      </c>
      <c r="F115" s="490"/>
      <c r="H115" s="9"/>
    </row>
    <row r="116" spans="2:8" s="12" customFormat="1" ht="16" thickBot="1">
      <c r="B116" s="117" t="s">
        <v>45</v>
      </c>
      <c r="C116" s="110" t="s">
        <v>421</v>
      </c>
      <c r="D116" s="111"/>
      <c r="E116" s="526">
        <f>D116</f>
        <v>0</v>
      </c>
      <c r="F116" s="527"/>
      <c r="H116" s="10"/>
    </row>
    <row r="117" spans="2:8" s="12" customFormat="1" ht="16" thickBot="1">
      <c r="B117" s="9"/>
      <c r="C117" s="9"/>
      <c r="D117" s="9"/>
      <c r="E117" s="9"/>
      <c r="F117" s="9"/>
      <c r="H117" s="9"/>
    </row>
    <row r="118" spans="2:8" s="12" customFormat="1" ht="16" thickBot="1">
      <c r="B118" s="525" t="s">
        <v>823</v>
      </c>
      <c r="C118" s="108">
        <v>481</v>
      </c>
      <c r="D118" s="508">
        <f>SUM(D119:D121)</f>
        <v>0</v>
      </c>
      <c r="E118" s="508">
        <f>SUM(E119:E121)</f>
        <v>0</v>
      </c>
      <c r="F118" s="508"/>
      <c r="H118" s="9"/>
    </row>
    <row r="119" spans="2:8" s="12" customFormat="1">
      <c r="B119" s="105" t="s">
        <v>45</v>
      </c>
      <c r="C119" s="109" t="s">
        <v>422</v>
      </c>
      <c r="D119" s="573"/>
      <c r="E119" s="579">
        <f>D119</f>
        <v>0</v>
      </c>
      <c r="F119" s="580"/>
      <c r="H119" s="9"/>
    </row>
    <row r="120" spans="2:8" s="12" customFormat="1">
      <c r="B120" s="105" t="s">
        <v>45</v>
      </c>
      <c r="C120" s="109" t="s">
        <v>423</v>
      </c>
      <c r="D120" s="27"/>
      <c r="E120" s="492">
        <f>D120</f>
        <v>0</v>
      </c>
      <c r="F120" s="490"/>
      <c r="H120" s="9"/>
    </row>
    <row r="121" spans="2:8" s="12" customFormat="1" ht="16" thickBot="1">
      <c r="B121" s="117" t="s">
        <v>45</v>
      </c>
      <c r="C121" s="110" t="s">
        <v>424</v>
      </c>
      <c r="D121" s="111"/>
      <c r="E121" s="526">
        <f>D121</f>
        <v>0</v>
      </c>
      <c r="F121" s="527"/>
      <c r="H121" s="9"/>
    </row>
    <row r="122" spans="2:8" s="12" customFormat="1" ht="16" thickBot="1">
      <c r="B122" s="9"/>
      <c r="C122" s="9"/>
      <c r="D122" s="9"/>
      <c r="E122" s="9"/>
      <c r="F122" s="9"/>
      <c r="H122" s="9"/>
    </row>
    <row r="123" spans="2:8" ht="16" thickBot="1">
      <c r="B123" s="528" t="s">
        <v>207</v>
      </c>
      <c r="C123" s="529">
        <v>490</v>
      </c>
      <c r="D123" s="530">
        <f>+D80+D71+D62+D35+D76+D113+D118+D110+D103</f>
        <v>0</v>
      </c>
      <c r="E123" s="530">
        <f>+E80+E71+E62+E35+E76+E113+E118+E110+E103</f>
        <v>0</v>
      </c>
      <c r="F123" s="531">
        <f>+F80+F71+F62+F35+F76+F110+F103</f>
        <v>0</v>
      </c>
      <c r="H123" s="77"/>
    </row>
    <row r="124" spans="2:8" ht="16" thickBot="1"/>
    <row r="125" spans="2:8" ht="16" thickBot="1">
      <c r="B125" s="528" t="s">
        <v>208</v>
      </c>
      <c r="C125" s="532" t="s">
        <v>167</v>
      </c>
      <c r="D125" s="533">
        <f>+D30-D123</f>
        <v>0</v>
      </c>
      <c r="E125" s="533">
        <f>+E30-E123</f>
        <v>0</v>
      </c>
      <c r="F125" s="534">
        <f>+F30-F123</f>
        <v>0</v>
      </c>
      <c r="H125" s="12"/>
    </row>
    <row r="126" spans="2:8">
      <c r="B126" s="535"/>
      <c r="D126" s="536"/>
      <c r="E126" s="536"/>
      <c r="F126" s="536"/>
      <c r="H126" s="12"/>
    </row>
    <row r="127" spans="2:8">
      <c r="H127" s="12"/>
    </row>
    <row r="128" spans="2:8">
      <c r="H128" s="12"/>
    </row>
    <row r="129" spans="2:13">
      <c r="E129" s="537"/>
    </row>
    <row r="130" spans="2:13">
      <c r="D130" s="10"/>
      <c r="E130" s="10"/>
    </row>
    <row r="131" spans="2:13">
      <c r="B131" s="552" t="s">
        <v>307</v>
      </c>
      <c r="D131" s="538"/>
      <c r="E131" s="18"/>
    </row>
    <row r="132" spans="2:13">
      <c r="B132" s="552" t="s">
        <v>309</v>
      </c>
      <c r="E132" s="539"/>
      <c r="F132" s="14"/>
      <c r="G132" s="14"/>
      <c r="H132" s="14"/>
    </row>
    <row r="133" spans="2:13">
      <c r="B133" s="552" t="s">
        <v>310</v>
      </c>
      <c r="F133" s="14"/>
      <c r="G133" s="14"/>
      <c r="H133" s="14"/>
    </row>
    <row r="134" spans="2:13" ht="30">
      <c r="B134" s="552" t="s">
        <v>337</v>
      </c>
      <c r="F134" s="14"/>
      <c r="G134" s="540"/>
      <c r="H134" s="541"/>
      <c r="I134" s="540"/>
      <c r="J134" s="540"/>
      <c r="K134" s="542"/>
      <c r="L134" s="14"/>
      <c r="M134" s="14"/>
    </row>
    <row r="135" spans="2:13" ht="29.5">
      <c r="B135" s="552" t="s">
        <v>91</v>
      </c>
      <c r="F135" s="14"/>
      <c r="G135" s="543"/>
      <c r="H135" s="544"/>
      <c r="I135" s="543"/>
      <c r="J135" s="543"/>
      <c r="K135" s="545"/>
      <c r="L135" s="14"/>
      <c r="M135" s="14"/>
    </row>
    <row r="136" spans="2:13" ht="29.5">
      <c r="B136" s="552"/>
      <c r="F136" s="14"/>
      <c r="G136" s="543"/>
      <c r="H136" s="544"/>
      <c r="I136" s="543"/>
      <c r="J136" s="543"/>
      <c r="K136" s="545"/>
      <c r="L136" s="14"/>
      <c r="M136" s="14"/>
    </row>
    <row r="137" spans="2:13" ht="29.5">
      <c r="B137" s="552" t="s">
        <v>311</v>
      </c>
      <c r="F137" s="14"/>
      <c r="G137" s="543"/>
      <c r="H137" s="544"/>
      <c r="I137" s="543"/>
      <c r="J137" s="543"/>
      <c r="K137" s="545"/>
      <c r="L137" s="14"/>
      <c r="M137" s="14"/>
    </row>
    <row r="138" spans="2:13" ht="29.5">
      <c r="B138" s="552" t="s">
        <v>312</v>
      </c>
      <c r="F138" s="14"/>
      <c r="G138" s="543"/>
      <c r="H138" s="544"/>
      <c r="I138" s="543"/>
      <c r="J138" s="543"/>
      <c r="K138" s="545"/>
      <c r="L138" s="14"/>
      <c r="M138" s="14"/>
    </row>
    <row r="139" spans="2:13" ht="29.5">
      <c r="B139" s="552" t="s">
        <v>313</v>
      </c>
      <c r="F139" s="14"/>
      <c r="G139" s="543"/>
      <c r="H139" s="544"/>
      <c r="I139" s="543"/>
      <c r="J139" s="543"/>
      <c r="K139" s="545"/>
      <c r="L139" s="14"/>
      <c r="M139" s="14"/>
    </row>
    <row r="140" spans="2:13" ht="29.5">
      <c r="B140" s="552"/>
      <c r="F140" s="14"/>
      <c r="G140" s="543"/>
      <c r="H140" s="544"/>
      <c r="I140" s="543"/>
      <c r="J140" s="543"/>
      <c r="K140" s="545"/>
      <c r="L140" s="14"/>
      <c r="M140" s="14"/>
    </row>
    <row r="141" spans="2:13" ht="29.5">
      <c r="B141" s="552" t="s">
        <v>404</v>
      </c>
      <c r="F141" s="14"/>
      <c r="G141" s="543"/>
      <c r="H141" s="544"/>
      <c r="I141" s="543"/>
      <c r="J141" s="543"/>
      <c r="K141" s="545"/>
      <c r="L141" s="14"/>
      <c r="M141" s="14"/>
    </row>
    <row r="142" spans="2:13" ht="29.5">
      <c r="B142" s="552" t="s">
        <v>406</v>
      </c>
      <c r="F142" s="14"/>
      <c r="G142" s="543"/>
      <c r="H142" s="544"/>
      <c r="I142" s="543"/>
      <c r="J142" s="543"/>
      <c r="K142" s="545"/>
      <c r="L142" s="14"/>
      <c r="M142" s="14"/>
    </row>
    <row r="143" spans="2:13" ht="29.5">
      <c r="B143" s="552" t="s">
        <v>405</v>
      </c>
      <c r="F143" s="14"/>
      <c r="G143" s="543"/>
      <c r="H143" s="544"/>
      <c r="I143" s="543"/>
      <c r="J143" s="543"/>
      <c r="K143" s="545"/>
      <c r="L143" s="14"/>
      <c r="M143" s="14"/>
    </row>
    <row r="144" spans="2:13" ht="29.5">
      <c r="B144" s="552" t="s">
        <v>91</v>
      </c>
      <c r="F144" s="14"/>
      <c r="G144" s="543"/>
      <c r="H144" s="544"/>
      <c r="I144" s="543"/>
      <c r="J144" s="543"/>
      <c r="K144" s="545"/>
      <c r="L144" s="14"/>
      <c r="M144" s="14"/>
    </row>
    <row r="145" spans="2:13" ht="29.5">
      <c r="F145" s="14"/>
      <c r="G145" s="543"/>
      <c r="H145" s="544"/>
      <c r="I145" s="543"/>
      <c r="J145" s="543"/>
      <c r="K145" s="545"/>
      <c r="L145" s="14"/>
      <c r="M145" s="14"/>
    </row>
    <row r="146" spans="2:13" ht="29.5">
      <c r="B146" s="552" t="s">
        <v>130</v>
      </c>
      <c r="F146" s="14"/>
      <c r="G146" s="543"/>
      <c r="H146" s="544"/>
      <c r="I146" s="543"/>
      <c r="J146" s="543"/>
      <c r="K146" s="545"/>
      <c r="L146" s="14"/>
      <c r="M146" s="14"/>
    </row>
    <row r="147" spans="2:13" ht="29.5">
      <c r="B147" s="552" t="s">
        <v>115</v>
      </c>
      <c r="F147" s="14"/>
      <c r="G147" s="543"/>
      <c r="H147" s="544"/>
      <c r="I147" s="543"/>
      <c r="J147" s="543"/>
      <c r="K147" s="545"/>
      <c r="L147" s="14"/>
      <c r="M147" s="14"/>
    </row>
    <row r="148" spans="2:13" ht="29.5">
      <c r="B148" s="552"/>
      <c r="F148" s="14"/>
      <c r="G148" s="543"/>
      <c r="H148" s="544"/>
      <c r="I148" s="543"/>
      <c r="J148" s="543"/>
      <c r="K148" s="545"/>
      <c r="L148" s="14"/>
      <c r="M148" s="14"/>
    </row>
    <row r="149" spans="2:13" ht="29.5">
      <c r="F149" s="14"/>
      <c r="G149" s="543"/>
      <c r="H149" s="544"/>
      <c r="I149" s="543"/>
      <c r="J149" s="543"/>
      <c r="K149" s="545"/>
      <c r="L149" s="14"/>
      <c r="M149" s="14"/>
    </row>
    <row r="150" spans="2:13" ht="29.5">
      <c r="F150" s="14"/>
      <c r="G150" s="543"/>
      <c r="H150" s="544"/>
      <c r="I150" s="543"/>
      <c r="J150" s="543"/>
      <c r="K150" s="545"/>
      <c r="L150" s="14"/>
      <c r="M150" s="14"/>
    </row>
    <row r="151" spans="2:13" ht="29.5">
      <c r="F151" s="14"/>
      <c r="G151" s="543"/>
      <c r="H151" s="544"/>
      <c r="I151" s="543"/>
      <c r="J151" s="543"/>
      <c r="K151" s="545"/>
      <c r="L151" s="14"/>
      <c r="M151" s="14"/>
    </row>
    <row r="152" spans="2:13" ht="29.5">
      <c r="F152" s="14"/>
      <c r="G152" s="543"/>
      <c r="H152" s="544"/>
      <c r="I152" s="543"/>
      <c r="J152" s="543"/>
      <c r="K152" s="545"/>
      <c r="L152" s="14"/>
      <c r="M152" s="14"/>
    </row>
    <row r="153" spans="2:13" ht="29.5">
      <c r="F153" s="14"/>
      <c r="G153" s="543"/>
      <c r="H153" s="544"/>
      <c r="I153" s="543"/>
      <c r="J153" s="543"/>
      <c r="K153" s="545"/>
      <c r="L153" s="14"/>
      <c r="M153" s="14"/>
    </row>
    <row r="154" spans="2:13" ht="29.5">
      <c r="F154" s="14"/>
      <c r="G154" s="543"/>
      <c r="H154" s="544"/>
      <c r="I154" s="543"/>
      <c r="J154" s="543"/>
      <c r="K154" s="546"/>
      <c r="L154" s="14"/>
      <c r="M154" s="14"/>
    </row>
    <row r="155" spans="2:13">
      <c r="F155" s="14"/>
      <c r="G155" s="14"/>
      <c r="H155" s="14"/>
      <c r="I155" s="14"/>
      <c r="J155" s="14"/>
      <c r="K155" s="14"/>
      <c r="L155" s="14"/>
      <c r="M155" s="14"/>
    </row>
    <row r="156" spans="2:13">
      <c r="F156" s="14"/>
      <c r="G156" s="14"/>
      <c r="H156" s="14"/>
      <c r="I156" s="14"/>
      <c r="J156" s="14"/>
      <c r="K156" s="14"/>
      <c r="L156" s="14"/>
      <c r="M156" s="14"/>
    </row>
    <row r="157" spans="2:13">
      <c r="F157" s="14"/>
      <c r="G157" s="14"/>
      <c r="H157" s="14"/>
      <c r="I157" s="14"/>
      <c r="J157" s="14"/>
      <c r="K157" s="14"/>
      <c r="L157" s="14"/>
      <c r="M157" s="14"/>
    </row>
    <row r="158" spans="2:13">
      <c r="F158" s="14"/>
      <c r="G158" s="14"/>
      <c r="H158" s="14"/>
    </row>
    <row r="159" spans="2:13">
      <c r="F159" s="14"/>
      <c r="G159" s="14"/>
      <c r="H159" s="14"/>
    </row>
    <row r="160" spans="2:13">
      <c r="F160" s="14"/>
      <c r="G160" s="14"/>
      <c r="H160" s="14"/>
    </row>
    <row r="161" spans="4:8">
      <c r="F161" s="14"/>
      <c r="G161" s="14"/>
      <c r="H161" s="14"/>
    </row>
    <row r="162" spans="4:8">
      <c r="F162" s="14"/>
      <c r="G162" s="14"/>
      <c r="H162" s="14"/>
    </row>
    <row r="163" spans="4:8">
      <c r="F163" s="14"/>
      <c r="G163" s="14"/>
      <c r="H163" s="14"/>
    </row>
    <row r="164" spans="4:8">
      <c r="F164" s="14"/>
      <c r="G164" s="14"/>
      <c r="H164" s="14"/>
    </row>
    <row r="165" spans="4:8">
      <c r="F165" s="14"/>
      <c r="G165" s="14"/>
      <c r="H165" s="14"/>
    </row>
    <row r="166" spans="4:8">
      <c r="D166" s="547"/>
      <c r="E166" s="547"/>
      <c r="F166" s="548"/>
      <c r="G166" s="14"/>
      <c r="H166" s="14"/>
    </row>
    <row r="167" spans="4:8">
      <c r="F167" s="14"/>
      <c r="G167" s="14"/>
      <c r="H167" s="14"/>
    </row>
    <row r="168" spans="4:8">
      <c r="F168" s="14"/>
      <c r="G168" s="14"/>
      <c r="H168" s="14"/>
    </row>
    <row r="169" spans="4:8">
      <c r="F169" s="14"/>
      <c r="G169" s="14"/>
      <c r="H169" s="14"/>
    </row>
    <row r="170" spans="4:8">
      <c r="F170" s="14"/>
      <c r="G170" s="14"/>
      <c r="H170" s="14"/>
    </row>
    <row r="171" spans="4:8">
      <c r="F171" s="14"/>
      <c r="G171" s="14"/>
      <c r="H171" s="14"/>
    </row>
    <row r="172" spans="4:8">
      <c r="F172" s="14"/>
      <c r="G172" s="14"/>
      <c r="H172" s="14"/>
    </row>
    <row r="173" spans="4:8">
      <c r="F173" s="14"/>
      <c r="G173" s="14"/>
      <c r="H173" s="14"/>
    </row>
    <row r="174" spans="4:8">
      <c r="F174" s="14"/>
      <c r="G174" s="14"/>
      <c r="H174" s="14"/>
    </row>
    <row r="175" spans="4:8">
      <c r="F175" s="14"/>
      <c r="G175" s="14"/>
      <c r="H175" s="14"/>
    </row>
    <row r="176" spans="4:8">
      <c r="F176" s="14"/>
      <c r="G176" s="14"/>
      <c r="H176" s="14"/>
    </row>
    <row r="177" spans="6:8">
      <c r="F177" s="14"/>
      <c r="G177" s="14"/>
      <c r="H177" s="14"/>
    </row>
    <row r="178" spans="6:8">
      <c r="F178" s="14"/>
      <c r="G178" s="14"/>
      <c r="H178" s="14"/>
    </row>
    <row r="179" spans="6:8">
      <c r="F179" s="14"/>
      <c r="G179" s="14"/>
      <c r="H179" s="14"/>
    </row>
    <row r="180" spans="6:8">
      <c r="F180" s="14"/>
      <c r="G180" s="14"/>
      <c r="H180" s="14"/>
    </row>
    <row r="181" spans="6:8">
      <c r="F181" s="14"/>
      <c r="G181" s="14"/>
      <c r="H181" s="14"/>
    </row>
    <row r="182" spans="6:8">
      <c r="F182" s="14"/>
      <c r="G182" s="14"/>
      <c r="H182" s="14"/>
    </row>
    <row r="183" spans="6:8">
      <c r="F183" s="14"/>
      <c r="G183" s="14"/>
      <c r="H183" s="14"/>
    </row>
    <row r="184" spans="6:8">
      <c r="F184" s="14"/>
      <c r="G184" s="14"/>
      <c r="H184" s="14"/>
    </row>
    <row r="185" spans="6:8">
      <c r="F185" s="14"/>
      <c r="G185" s="14"/>
      <c r="H185" s="14"/>
    </row>
    <row r="186" spans="6:8">
      <c r="F186" s="14"/>
      <c r="G186" s="14"/>
      <c r="H186" s="14"/>
    </row>
    <row r="187" spans="6:8">
      <c r="F187" s="14"/>
      <c r="G187" s="14"/>
      <c r="H187" s="14"/>
    </row>
    <row r="188" spans="6:8">
      <c r="F188" s="14"/>
      <c r="G188" s="14"/>
      <c r="H188" s="14"/>
    </row>
    <row r="189" spans="6:8">
      <c r="F189" s="14"/>
      <c r="G189" s="14"/>
      <c r="H189" s="14"/>
    </row>
    <row r="190" spans="6:8">
      <c r="F190" s="14"/>
      <c r="G190" s="14"/>
      <c r="H190" s="14"/>
    </row>
    <row r="191" spans="6:8">
      <c r="F191" s="14"/>
      <c r="G191" s="14"/>
      <c r="H191" s="14"/>
    </row>
    <row r="192" spans="6:8">
      <c r="F192" s="14"/>
      <c r="G192" s="14"/>
      <c r="H192" s="14"/>
    </row>
    <row r="193" spans="6:8">
      <c r="F193" s="14"/>
      <c r="G193" s="14"/>
      <c r="H193" s="14"/>
    </row>
    <row r="194" spans="6:8">
      <c r="F194" s="14"/>
      <c r="G194" s="14"/>
      <c r="H194" s="14"/>
    </row>
  </sheetData>
  <sheetProtection algorithmName="SHA-512" hashValue="l4tDnlSjTYwjYW5aNVZkUjgixrSeZ0oRlAaVIk6ObeH9VmbNAsJ7/tnFhAohGRmx6MQBQmS9qGQmXa8RbjRYcA==" saltValue="W0ApgicfWTU+7Nea0XbFdQ==" spinCount="100000" sheet="1" objects="1" scenarios="1" selectLockedCells="1"/>
  <protectedRanges>
    <protectedRange sqref="B78 B74 B69 B60 F79 D116 F72:F75 D109:F109 D121:D122 F119:F121 E34:F34 E122:F122 F114:F117 D108 F104:F108 B108:B109 E105:E108 F24:F29 F18:F21 B99:B101 D81:D101 E81:F81 F82:F102 E82:E101 D77:F78 D72:E74 D63:F69 D37:F60" name="allow"/>
    <protectedRange sqref="B28:B29" name="allow_1"/>
    <protectedRange sqref="D18:E19" name="allow_5"/>
    <protectedRange sqref="D28:E29 D24:D26 E24:E27 F22:F23 D20:E23" name="allow_5_1"/>
  </protectedRanges>
  <mergeCells count="7">
    <mergeCell ref="B1:F1"/>
    <mergeCell ref="B2:F2"/>
    <mergeCell ref="B3:G3"/>
    <mergeCell ref="H34:H35"/>
    <mergeCell ref="E15:F15"/>
    <mergeCell ref="H18:H19"/>
    <mergeCell ref="H9:I12"/>
  </mergeCells>
  <conditionalFormatting sqref="F7:F14 E15">
    <cfRule type="cellIs" dxfId="23" priority="2" operator="notEqual">
      <formula>""</formula>
    </cfRule>
  </conditionalFormatting>
  <conditionalFormatting sqref="G18">
    <cfRule type="expression" priority="10">
      <formula>"if($D$17&gt;1 and $E$17 = 0,""red"",blue"")"</formula>
    </cfRule>
  </conditionalFormatting>
  <conditionalFormatting sqref="G38:G44 G46:G52 G54:G60">
    <cfRule type="expression" dxfId="22" priority="5">
      <formula>AND(ISNUMBER(D38), E38="")</formula>
    </cfRule>
  </conditionalFormatting>
  <conditionalFormatting sqref="G63:G69">
    <cfRule type="expression" dxfId="21" priority="4">
      <formula>AND(ISNUMBER(D63), E63="")</formula>
    </cfRule>
  </conditionalFormatting>
  <conditionalFormatting sqref="H13:H15">
    <cfRule type="cellIs" dxfId="20" priority="1" operator="notEqual">
      <formula>""</formula>
    </cfRule>
  </conditionalFormatting>
  <dataValidations count="6">
    <dataValidation type="decimal" allowBlank="1" showInputMessage="1" showErrorMessage="1" sqref="F54:F60 F38:F44 F46:F52" xr:uid="{960B4D67-9061-4248-B08C-F1A700A500EF}">
      <formula1>0</formula1>
      <formula2>1000000000000000000</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2EBE62D0-EFAC-4555-81E7-F9E5FCD7B349}">
      <formula1>0</formula1>
      <formula2>365</formula2>
    </dataValidation>
    <dataValidation type="list" allowBlank="1" showInputMessage="1" showErrorMessage="1" sqref="E15" xr:uid="{6A3B147E-92F2-4715-A4EE-06C841DE7554}">
      <formula1>$B$131:$B$135</formula1>
    </dataValidation>
    <dataValidation type="list" allowBlank="1" showInputMessage="1" showErrorMessage="1" sqref="F12" xr:uid="{0FA27912-B361-4A2F-BA9F-A2E8022CEFD2}">
      <formula1>$B$137:$B$139</formula1>
    </dataValidation>
    <dataValidation type="list" allowBlank="1" showInputMessage="1" showErrorMessage="1" sqref="F13" xr:uid="{3671E165-8E1C-4791-9251-DBD0C5ABD4F7}">
      <formula1>$B$141:$B$144</formula1>
    </dataValidation>
    <dataValidation type="list" allowBlank="1" showInputMessage="1" showErrorMessage="1" sqref="F14" xr:uid="{E2BE95B9-259D-4BD1-80C0-3F8395DC3308}">
      <formula1>$B$146:$B$147</formula1>
    </dataValidation>
  </dataValidations>
  <pageMargins left="0.7" right="0.7" top="0.75" bottom="0.75" header="0.3" footer="0.3"/>
  <pageSetup scale="54"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3FD58-9C32-45F1-8DE1-9A4742F83DDB}">
  <sheetPr>
    <tabColor theme="4" tint="0.59999389629810485"/>
  </sheetPr>
  <dimension ref="A1:DN122"/>
  <sheetViews>
    <sheetView showGridLines="0" zoomScale="85" zoomScaleNormal="85" workbookViewId="0">
      <selection activeCell="B1" sqref="B1:E1"/>
    </sheetView>
  </sheetViews>
  <sheetFormatPr defaultColWidth="8.81640625" defaultRowHeight="14.5" outlineLevelRow="1"/>
  <cols>
    <col min="1" max="1" width="3.81640625" customWidth="1"/>
    <col min="2" max="2" width="58.26953125" customWidth="1"/>
    <col min="3" max="3" width="34.453125" customWidth="1"/>
    <col min="4" max="4" width="26.81640625" customWidth="1"/>
    <col min="5" max="5" width="18.1796875" style="3" customWidth="1"/>
    <col min="6" max="6" width="18.54296875" customWidth="1"/>
    <col min="7" max="7" width="14.26953125" customWidth="1"/>
    <col min="8" max="8" width="26.1796875" customWidth="1"/>
    <col min="9" max="115" width="18.54296875" customWidth="1"/>
  </cols>
  <sheetData>
    <row r="1" spans="2:9" ht="26.5" thickBot="1">
      <c r="B1" s="1111" t="s">
        <v>744</v>
      </c>
      <c r="C1" s="1112"/>
      <c r="D1" s="1112"/>
      <c r="E1" s="1113"/>
      <c r="F1" s="114" t="s">
        <v>109</v>
      </c>
      <c r="G1" s="113" t="str">
        <f>IF('A1. Identification'!$D$13=0, " ",'A1. Identification'!$D$13)</f>
        <v xml:space="preserve"> </v>
      </c>
      <c r="H1" s="88"/>
      <c r="I1" s="90"/>
    </row>
    <row r="2" spans="2:9" ht="18" customHeight="1">
      <c r="B2" s="51"/>
      <c r="C2" s="51"/>
      <c r="F2" s="112" t="s">
        <v>303</v>
      </c>
      <c r="G2" s="113" t="str">
        <f>'A6. Operations'!L2</f>
        <v>Please enter Ministry licence number on tab A6 row 7</v>
      </c>
    </row>
    <row r="3" spans="2:9" ht="23.5">
      <c r="B3" s="1114" t="s">
        <v>249</v>
      </c>
      <c r="C3" s="1115"/>
      <c r="D3" s="1115"/>
      <c r="E3" s="1115"/>
      <c r="H3" s="89"/>
      <c r="I3" s="91"/>
    </row>
    <row r="4" spans="2:9" ht="24" thickBot="1">
      <c r="B4" s="1116" t="str">
        <f>IF('A1. Identification'!D7=0, "2025 FAIR, CWELCC and OTEF Reconciliation for Single Site Operators",'A1. Identification'!D7)</f>
        <v>2025 FAIR, CWELCC and OTEF Reconciliation for Single Site Operators</v>
      </c>
      <c r="C4" s="1117"/>
      <c r="D4" s="1117"/>
      <c r="E4" s="1117"/>
      <c r="F4" s="89"/>
      <c r="G4" s="91"/>
    </row>
    <row r="5" spans="2:9" ht="18" customHeight="1" thickBot="1">
      <c r="B5" s="51"/>
      <c r="C5" s="51"/>
    </row>
    <row r="6" spans="2:9" s="583" customFormat="1" ht="24" customHeight="1" thickBot="1">
      <c r="B6" s="1121" t="s">
        <v>379</v>
      </c>
      <c r="C6" s="1122"/>
      <c r="D6" s="1122"/>
      <c r="E6" s="1122"/>
      <c r="F6"/>
      <c r="G6"/>
    </row>
    <row r="7" spans="2:9" s="585" customFormat="1" ht="24" customHeight="1" thickBot="1">
      <c r="B7" s="584"/>
      <c r="C7" s="584"/>
      <c r="D7" s="584"/>
      <c r="E7" s="584"/>
      <c r="F7" s="3"/>
      <c r="G7" s="3"/>
    </row>
    <row r="8" spans="2:9" s="585" customFormat="1" ht="24" customHeight="1" thickBot="1">
      <c r="B8" s="1119" t="s">
        <v>360</v>
      </c>
      <c r="C8" s="1120"/>
      <c r="D8" s="586" t="s">
        <v>24</v>
      </c>
      <c r="E8" s="584"/>
      <c r="F8"/>
      <c r="G8" s="583"/>
      <c r="H8" s="583"/>
    </row>
    <row r="9" spans="2:9" s="585" customFormat="1" ht="18.75" customHeight="1">
      <c r="B9" s="1123" t="s">
        <v>34</v>
      </c>
      <c r="C9" s="1123"/>
      <c r="D9" s="587">
        <f>'A2.Allocation &amp; Operating Plan'!E17</f>
        <v>0</v>
      </c>
      <c r="F9" s="583"/>
      <c r="G9" s="583"/>
      <c r="H9" s="583"/>
    </row>
    <row r="10" spans="2:9" s="585" customFormat="1" ht="18.75" customHeight="1">
      <c r="B10" s="1118" t="s">
        <v>238</v>
      </c>
      <c r="C10" s="1118"/>
      <c r="D10" s="588">
        <f>'A2.Allocation &amp; Operating Plan'!E20</f>
        <v>0</v>
      </c>
      <c r="F10" s="583"/>
      <c r="G10" s="583"/>
      <c r="H10" s="583"/>
    </row>
    <row r="11" spans="2:9" s="585" customFormat="1" ht="18.75" customHeight="1">
      <c r="B11" s="1104" t="s">
        <v>87</v>
      </c>
      <c r="C11" s="1105"/>
      <c r="D11" s="591">
        <f>D9+D10</f>
        <v>0</v>
      </c>
      <c r="F11" s="583"/>
      <c r="G11" s="583"/>
      <c r="H11" s="583"/>
    </row>
    <row r="12" spans="2:9" s="585" customFormat="1" ht="18.75" customHeight="1">
      <c r="B12" s="592" t="s">
        <v>395</v>
      </c>
      <c r="C12" s="590"/>
      <c r="D12" s="591"/>
      <c r="F12" s="583"/>
      <c r="G12" s="583"/>
      <c r="H12" s="583"/>
    </row>
    <row r="13" spans="2:9" s="585" customFormat="1" ht="18.75" customHeight="1">
      <c r="B13" s="1124" t="s">
        <v>361</v>
      </c>
      <c r="C13" s="1124"/>
      <c r="D13" s="593">
        <f>-'A6. Operations'!E20</f>
        <v>0</v>
      </c>
      <c r="F13" s="583"/>
      <c r="G13" s="583"/>
      <c r="H13" s="583"/>
    </row>
    <row r="14" spans="2:9" s="585" customFormat="1" ht="18.75" customHeight="1">
      <c r="B14" s="1124" t="s">
        <v>362</v>
      </c>
      <c r="C14" s="1124"/>
      <c r="D14" s="593">
        <f>-'A3. Peel Region Grants'!G37</f>
        <v>0</v>
      </c>
      <c r="F14" s="583"/>
      <c r="G14" s="583"/>
      <c r="H14" s="583"/>
    </row>
    <row r="15" spans="2:9" s="585" customFormat="1" ht="18.75" customHeight="1">
      <c r="B15" s="1102" t="s">
        <v>363</v>
      </c>
      <c r="C15" s="1103"/>
      <c r="D15" s="594">
        <f>-'A6. Operations'!E21</f>
        <v>0</v>
      </c>
      <c r="F15" s="583"/>
      <c r="G15" s="583"/>
      <c r="H15" s="583"/>
    </row>
    <row r="16" spans="2:9" s="585" customFormat="1" ht="18.75" customHeight="1">
      <c r="B16" s="1104" t="s">
        <v>445</v>
      </c>
      <c r="C16" s="1105"/>
      <c r="D16" s="595">
        <f>D14+D15+D13</f>
        <v>0</v>
      </c>
      <c r="F16" s="583"/>
      <c r="G16" s="583"/>
      <c r="H16" s="583"/>
    </row>
    <row r="17" spans="2:8" s="585" customFormat="1" ht="18.75" customHeight="1">
      <c r="B17" s="589"/>
      <c r="C17" s="590"/>
      <c r="D17" s="596"/>
      <c r="F17" s="583"/>
      <c r="G17" s="583"/>
      <c r="H17" s="583"/>
    </row>
    <row r="18" spans="2:8" s="585" customFormat="1" ht="18.75" customHeight="1">
      <c r="B18" s="1110" t="s">
        <v>385</v>
      </c>
      <c r="C18" s="1110"/>
      <c r="D18" s="597">
        <f>D11+D16</f>
        <v>0</v>
      </c>
      <c r="E18" s="584"/>
      <c r="F18"/>
      <c r="G18" s="583"/>
      <c r="H18" s="583"/>
    </row>
    <row r="19" spans="2:8" s="585" customFormat="1" ht="18.75" customHeight="1">
      <c r="B19" s="598"/>
      <c r="C19" s="598"/>
      <c r="D19" s="599"/>
      <c r="E19" s="584"/>
      <c r="F19"/>
      <c r="G19" s="583"/>
      <c r="H19" s="583"/>
    </row>
    <row r="20" spans="2:8" ht="16.5" customHeight="1" collapsed="1">
      <c r="B20" s="600" t="s">
        <v>40</v>
      </c>
      <c r="C20" s="601" t="s">
        <v>90</v>
      </c>
      <c r="D20" s="602" t="s">
        <v>347</v>
      </c>
      <c r="E20"/>
    </row>
    <row r="21" spans="2:8" ht="15.5">
      <c r="B21" s="563" t="s">
        <v>953</v>
      </c>
      <c r="C21" s="564"/>
      <c r="D21" s="565">
        <f>'A6. Operations'!E123</f>
        <v>0</v>
      </c>
      <c r="E21"/>
    </row>
    <row r="22" spans="2:8" ht="15.5">
      <c r="B22" s="563" t="s">
        <v>339</v>
      </c>
      <c r="C22" s="564"/>
      <c r="D22" s="565"/>
      <c r="E22"/>
    </row>
    <row r="23" spans="2:8" ht="15.5">
      <c r="B23" s="563" t="s">
        <v>398</v>
      </c>
      <c r="C23" s="564"/>
      <c r="D23" s="566">
        <f>IFERROR('A5. Financial Position'!G34*'A2.Allocation &amp; Operating Plan'!$C$48,0)</f>
        <v>0</v>
      </c>
      <c r="F23" s="603" t="str">
        <f>IF(Table13[[#This Row],[Amounts]]&gt;0,"Mortgage principal paid in the year is being prorated by 0–6 accommodation percentage of " &amp; TEXT('A2.Allocation &amp; Operating Plan'!C48,"0.00%") &amp; " from tab 2.", " ")</f>
        <v xml:space="preserve"> </v>
      </c>
      <c r="G23" s="603"/>
    </row>
    <row r="24" spans="2:8" ht="15.5">
      <c r="B24" s="567" t="s">
        <v>485</v>
      </c>
      <c r="C24" s="564"/>
      <c r="D24" s="568">
        <f>-'A3. Peel Region Grants'!C119</f>
        <v>0</v>
      </c>
      <c r="E24"/>
    </row>
    <row r="25" spans="2:8" ht="15.5">
      <c r="B25" s="604" t="s">
        <v>486</v>
      </c>
      <c r="C25" s="569"/>
      <c r="D25" s="568">
        <f>-'A3. Peel Region Grants'!C118</f>
        <v>0</v>
      </c>
      <c r="E25"/>
    </row>
    <row r="26" spans="2:8" ht="15.5">
      <c r="B26" s="897" t="s">
        <v>943</v>
      </c>
      <c r="C26" s="564"/>
      <c r="D26" s="568">
        <f>-'A6. Operations'!E59</f>
        <v>0</v>
      </c>
      <c r="E26"/>
    </row>
    <row r="27" spans="2:8" ht="15.5">
      <c r="B27" s="604" t="s">
        <v>906</v>
      </c>
      <c r="C27" s="569"/>
      <c r="D27" s="568">
        <f>-'A6. Operations'!E83</f>
        <v>0</v>
      </c>
      <c r="E27"/>
    </row>
    <row r="28" spans="2:8" ht="15.5">
      <c r="B28" s="604" t="s">
        <v>907</v>
      </c>
      <c r="C28" s="569"/>
      <c r="D28" s="568">
        <f>-'A6. Operations'!E106</f>
        <v>0</v>
      </c>
      <c r="E28"/>
    </row>
    <row r="29" spans="2:8" ht="15.5">
      <c r="B29" s="604" t="s">
        <v>941</v>
      </c>
      <c r="C29" s="569"/>
      <c r="D29" s="568">
        <f>-'A6. Operations'!E97</f>
        <v>0</v>
      </c>
      <c r="E29"/>
    </row>
    <row r="30" spans="2:8" ht="14.5" customHeight="1">
      <c r="B30" s="567" t="s">
        <v>908</v>
      </c>
      <c r="C30" s="564"/>
      <c r="D30" s="568">
        <f>-'A6. Operations'!D113</f>
        <v>0</v>
      </c>
      <c r="E30"/>
    </row>
    <row r="31" spans="2:8" ht="15.5">
      <c r="B31" s="567" t="s">
        <v>909</v>
      </c>
      <c r="C31" s="564"/>
      <c r="D31" s="568">
        <f>-'A6. Operations'!E118</f>
        <v>0</v>
      </c>
      <c r="E31"/>
    </row>
    <row r="32" spans="2:8" ht="15.5">
      <c r="B32" s="567" t="s">
        <v>910</v>
      </c>
      <c r="C32" s="564"/>
      <c r="D32" s="568">
        <f>-'A3. Peel Region Grants'!G38-'A3. Peel Region Grants'!G39</f>
        <v>0</v>
      </c>
      <c r="E32"/>
    </row>
    <row r="33" spans="2:118" ht="18.5">
      <c r="B33" s="897" t="s">
        <v>911</v>
      </c>
      <c r="C33" s="564"/>
      <c r="D33" s="570">
        <f>-'A3. Peel Region Grants'!F130</f>
        <v>0</v>
      </c>
      <c r="E33"/>
    </row>
    <row r="34" spans="2:118" ht="15.5">
      <c r="B34" s="563" t="s">
        <v>345</v>
      </c>
      <c r="C34" s="564"/>
      <c r="D34" s="571">
        <f>SUM(D23:D33)</f>
        <v>0</v>
      </c>
      <c r="E34"/>
      <c r="I34" s="57"/>
    </row>
    <row r="35" spans="2:118" ht="15.5" collapsed="1">
      <c r="B35" s="563"/>
      <c r="C35" s="564"/>
      <c r="D35" s="565"/>
      <c r="E35"/>
      <c r="G35" s="57"/>
    </row>
    <row r="36" spans="2:118" s="7" customFormat="1" ht="15.5">
      <c r="B36" s="563" t="s">
        <v>346</v>
      </c>
      <c r="C36" s="564"/>
      <c r="D36" s="565">
        <f>+D21+D34</f>
        <v>0</v>
      </c>
      <c r="E36" s="605"/>
      <c r="F36" s="605"/>
      <c r="H36" s="605"/>
      <c r="DD36"/>
      <c r="DE36"/>
      <c r="DF36"/>
      <c r="DG36"/>
      <c r="DH36"/>
      <c r="DI36"/>
      <c r="DJ36"/>
      <c r="DK36"/>
      <c r="DL36"/>
      <c r="DM36"/>
      <c r="DN36"/>
    </row>
    <row r="37" spans="2:118" ht="15.5">
      <c r="B37" s="563"/>
      <c r="C37" s="564"/>
      <c r="D37" s="565"/>
      <c r="E37"/>
      <c r="F37" s="606"/>
      <c r="G37" s="87"/>
      <c r="H37" s="607"/>
      <c r="DD37" s="7"/>
      <c r="DE37" s="7"/>
      <c r="DF37" s="7"/>
      <c r="DG37" s="7"/>
      <c r="DH37" s="7"/>
      <c r="DI37" s="7"/>
      <c r="DJ37" s="7"/>
      <c r="DK37" s="7"/>
      <c r="DL37" s="7"/>
      <c r="DM37" s="7"/>
      <c r="DN37" s="7"/>
    </row>
    <row r="38" spans="2:118" ht="15.5">
      <c r="B38" s="563" t="s">
        <v>348</v>
      </c>
      <c r="C38" s="564"/>
      <c r="D38" s="565">
        <f>IFERROR('A2.Allocation &amp; Operating Plan'!E17,0)</f>
        <v>0</v>
      </c>
      <c r="E38"/>
      <c r="F38" s="57"/>
      <c r="G38" s="57"/>
      <c r="H38" s="57"/>
      <c r="I38" s="57"/>
    </row>
    <row r="39" spans="2:118" ht="15.5">
      <c r="B39" s="563"/>
      <c r="C39" s="564"/>
      <c r="D39" s="565"/>
      <c r="E39"/>
      <c r="F39" s="57"/>
      <c r="H39" s="57"/>
      <c r="I39" s="57"/>
    </row>
    <row r="40" spans="2:118" ht="15.5">
      <c r="B40" s="563" t="s">
        <v>349</v>
      </c>
      <c r="C40" s="564"/>
      <c r="D40" s="565">
        <f>IF(D36&gt;D38,0,ROUND(D38-D36,2))</f>
        <v>0</v>
      </c>
      <c r="E40"/>
      <c r="H40" s="57"/>
      <c r="I40" s="57"/>
    </row>
    <row r="41" spans="2:118" ht="15.5">
      <c r="B41" s="563" t="str">
        <f>IF(Table13[[#This Row],[Amounts]]&gt;0,"Underspending of CWELCC program applied to OTEF", " ")</f>
        <v xml:space="preserve"> </v>
      </c>
      <c r="C41" s="608"/>
      <c r="D41" s="565">
        <f>C113</f>
        <v>0</v>
      </c>
      <c r="E41"/>
      <c r="I41" s="57"/>
      <c r="J41" s="553"/>
    </row>
    <row r="42" spans="2:118" ht="15.5">
      <c r="B42" s="604" t="s">
        <v>872</v>
      </c>
      <c r="C42" s="569"/>
      <c r="D42" s="565">
        <f>D36+D41</f>
        <v>0</v>
      </c>
      <c r="E42"/>
      <c r="G42" s="57"/>
      <c r="H42" s="57"/>
      <c r="I42" s="553"/>
      <c r="J42" s="57"/>
    </row>
    <row r="43" spans="2:118" ht="18.75" customHeight="1">
      <c r="B43" s="609" t="s">
        <v>353</v>
      </c>
      <c r="C43" s="610"/>
      <c r="D43" s="611">
        <f>ROUND(D40-D41,2)</f>
        <v>0</v>
      </c>
      <c r="E43"/>
      <c r="H43" s="57"/>
      <c r="I43" s="553"/>
      <c r="J43" s="57"/>
    </row>
    <row r="44" spans="2:118" ht="12" customHeight="1">
      <c r="B44" s="612"/>
      <c r="C44" s="613"/>
      <c r="D44" s="614"/>
      <c r="E44" s="615"/>
    </row>
    <row r="45" spans="2:118" ht="27.75" customHeight="1">
      <c r="B45" s="107" t="str">
        <f>IF(C113&gt;0,"*Important Note: CWELCC program allocation underspending of $" &amp;ROUND(C113,0)&amp; " is being applied to your OTEF grant to maximize your Cost based funding, your remaining amount in Program cost underspending is $"&amp;D43," ")</f>
        <v xml:space="preserve"> </v>
      </c>
      <c r="D45" s="57"/>
      <c r="E45" s="616"/>
    </row>
    <row r="46" spans="2:118" ht="15" thickBot="1"/>
    <row r="47" spans="2:118" ht="25.5" customHeight="1" thickBot="1">
      <c r="B47" s="617" t="s">
        <v>378</v>
      </c>
      <c r="C47" s="618"/>
      <c r="D47" s="618"/>
      <c r="E47" s="618"/>
      <c r="F47" s="619"/>
      <c r="G47" s="619"/>
    </row>
    <row r="50" spans="2:8" ht="21">
      <c r="B50" s="1108" t="s">
        <v>222</v>
      </c>
      <c r="C50" s="1109"/>
      <c r="D50" s="1109"/>
      <c r="E50" s="620"/>
    </row>
    <row r="51" spans="2:8" ht="15.5">
      <c r="B51" s="1106" t="s">
        <v>78</v>
      </c>
      <c r="C51" s="1106"/>
      <c r="D51" s="1106"/>
      <c r="E51" s="621">
        <f>IFERROR((IF('A7. 2025 CWELCC &amp; OTEF Recon'!D38-'A7. 2025 CWELCC &amp; OTEF Recon'!D62&lt;0,0,'A7. 2025 CWELCC &amp; OTEF Recon'!D38-'A7. 2025 CWELCC &amp; OTEF Recon'!D62)),0)</f>
        <v>0</v>
      </c>
      <c r="F51" s="622" t="str">
        <f>IF(E51&gt;0,"Your eligible CWELCC Program Cost allocation is underspent, unused funding will be recovered at end of year.", "")</f>
        <v/>
      </c>
      <c r="G51" s="623"/>
    </row>
    <row r="52" spans="2:8" ht="15.5">
      <c r="B52" s="1106" t="s">
        <v>79</v>
      </c>
      <c r="C52" s="1106"/>
      <c r="D52" s="1106"/>
      <c r="E52" s="621">
        <f>IFERROR(ROUND(('A2.Allocation &amp; Operating Plan'!E20-'A7. 2025 CWELCC &amp; OTEF Recon'!E64),0),0)</f>
        <v>0</v>
      </c>
      <c r="F52" s="622" t="str">
        <f>IF(E52&gt;0,"Recalculation of Lieu of Profit/Surplus due to underspending and/or not participating in CWELCC for full 12 months.", "")</f>
        <v/>
      </c>
    </row>
    <row r="53" spans="2:8" ht="15.5">
      <c r="B53" s="1106" t="s">
        <v>219</v>
      </c>
      <c r="C53" s="1106"/>
      <c r="D53" s="1106"/>
      <c r="E53" s="621">
        <f>IFERROR((IF('A7. 2025 CWELCC &amp; OTEF Recon'!C73&lt;'A7. 2025 CWELCC &amp; OTEF Recon'!C72,0,'A7. 2025 CWELCC &amp; OTEF Recon'!C73-'A7. 2025 CWELCC &amp; OTEF Recon'!C72)),0)</f>
        <v>0</v>
      </c>
      <c r="F53" s="622" t="str">
        <f>IF(E53&gt;0,"Actual Base Fee Revenue is greater than expected revenue, any revenue collected in excess of allocation will be recovered", "")</f>
        <v/>
      </c>
    </row>
    <row r="54" spans="2:8" ht="15.5">
      <c r="B54" s="1107" t="s">
        <v>80</v>
      </c>
      <c r="C54" s="1107"/>
      <c r="D54" s="1107"/>
      <c r="E54" s="624">
        <f>SUM(E51:E53)</f>
        <v>0</v>
      </c>
      <c r="G54" s="57"/>
      <c r="H54" s="553"/>
    </row>
    <row r="55" spans="2:8" ht="21" customHeight="1" thickBot="1">
      <c r="E55"/>
    </row>
    <row r="56" spans="2:8" ht="21">
      <c r="B56" s="625" t="s">
        <v>239</v>
      </c>
      <c r="C56" s="626"/>
      <c r="D56" s="626"/>
      <c r="E56" s="627"/>
    </row>
    <row r="57" spans="2:8" ht="16" thickBot="1">
      <c r="B57" s="78" t="s">
        <v>81</v>
      </c>
      <c r="E57" s="56"/>
    </row>
    <row r="58" spans="2:8" ht="16" thickBot="1">
      <c r="B58" s="628" t="s">
        <v>364</v>
      </c>
      <c r="C58" s="629"/>
      <c r="D58" s="629"/>
      <c r="E58" s="630">
        <f>IFERROR('A2.Allocation &amp; Operating Plan'!E21,0)</f>
        <v>0</v>
      </c>
    </row>
    <row r="59" spans="2:8" ht="16" thickTop="1">
      <c r="B59" s="631"/>
      <c r="C59" s="632"/>
      <c r="D59" s="633"/>
      <c r="E59" s="634"/>
    </row>
    <row r="60" spans="2:8" ht="17.25" customHeight="1">
      <c r="B60" s="635" t="s">
        <v>442</v>
      </c>
      <c r="C60" s="636"/>
      <c r="D60" s="636"/>
      <c r="E60" s="637">
        <f>IFERROR(MIN(D62,D63),0)</f>
        <v>0</v>
      </c>
    </row>
    <row r="61" spans="2:8" ht="15.5">
      <c r="B61" s="638" t="s">
        <v>82</v>
      </c>
      <c r="D61" s="639"/>
      <c r="E61" s="640"/>
    </row>
    <row r="62" spans="2:8" ht="15.5">
      <c r="B62" s="641" t="s">
        <v>474</v>
      </c>
      <c r="D62" s="639">
        <f>D36+D41</f>
        <v>0</v>
      </c>
      <c r="E62" s="642"/>
    </row>
    <row r="63" spans="2:8" ht="16" thickBot="1">
      <c r="B63" s="643" t="s">
        <v>365</v>
      </c>
      <c r="C63" s="644"/>
      <c r="D63" s="645">
        <f>D38</f>
        <v>0</v>
      </c>
      <c r="E63" s="646"/>
    </row>
    <row r="64" spans="2:8" ht="16" thickTop="1">
      <c r="B64" s="647" t="s">
        <v>443</v>
      </c>
      <c r="C64" s="648"/>
      <c r="D64" s="649"/>
      <c r="E64" s="650">
        <f>ROUND(IF((D65+D68+D69)&gt;'A2.Allocation &amp; Operating Plan'!E20,'A2.Allocation &amp; Operating Plan'!E20,'A7. 2025 CWELCC &amp; OTEF Recon'!D65+'A7. 2025 CWELCC &amp; OTEF Recon'!D68+'A7. 2025 CWELCC &amp; OTEF Recon'!D69),0)</f>
        <v>0</v>
      </c>
    </row>
    <row r="65" spans="2:7" ht="15.5">
      <c r="B65" s="651" t="s">
        <v>366</v>
      </c>
      <c r="D65" s="639">
        <f>IFERROR(0.0425*E60,0)</f>
        <v>0</v>
      </c>
      <c r="E65" s="652"/>
    </row>
    <row r="66" spans="2:7" ht="15.5">
      <c r="B66" s="653" t="s">
        <v>83</v>
      </c>
      <c r="D66" s="639"/>
      <c r="E66" s="652"/>
    </row>
    <row r="67" spans="2:7" ht="15.5">
      <c r="B67" s="654" t="s">
        <v>367</v>
      </c>
      <c r="C67" s="639">
        <f>IFERROR(E60,0)</f>
        <v>0</v>
      </c>
      <c r="D67" s="639"/>
      <c r="E67" s="56"/>
    </row>
    <row r="68" spans="2:7" ht="15.5">
      <c r="B68" s="654" t="s">
        <v>84</v>
      </c>
      <c r="C68" s="639">
        <f>IFERROR(SUM('A2.Allocation &amp; Operating Plan'!E10:E14),0)</f>
        <v>0</v>
      </c>
      <c r="D68" s="639">
        <f>IFERROR(0.035*MIN(C67,C68),0)</f>
        <v>0</v>
      </c>
      <c r="E68" s="56"/>
    </row>
    <row r="69" spans="2:7" ht="16" thickBot="1">
      <c r="B69" s="655" t="str">
        <f>"iii. Add - $"&amp;D69&amp; " per site"</f>
        <v>iii. Add - $0 per site</v>
      </c>
      <c r="C69" s="656"/>
      <c r="D69" s="645">
        <f>IF(E58=0,0,IF('A2.Allocation &amp; Operating Plan'!I33=0,6000,6000/12*'A2.Allocation &amp; Operating Plan'!I33))</f>
        <v>0</v>
      </c>
      <c r="E69" s="657"/>
    </row>
    <row r="70" spans="2:7" ht="16" thickTop="1">
      <c r="B70" s="647" t="s">
        <v>444</v>
      </c>
      <c r="C70" s="648"/>
      <c r="D70" s="658"/>
      <c r="E70" s="650">
        <f>-IFERROR(MAX(C72,C73),0)</f>
        <v>0</v>
      </c>
    </row>
    <row r="71" spans="2:7" ht="15.5">
      <c r="B71" s="659" t="s">
        <v>85</v>
      </c>
      <c r="D71" s="632"/>
      <c r="E71" s="660"/>
    </row>
    <row r="72" spans="2:7" ht="15.5">
      <c r="B72" s="651" t="s">
        <v>368</v>
      </c>
      <c r="C72" s="639">
        <f>-IFERROR('A2.Allocation &amp; Operating Plan'!E18,0)</f>
        <v>0</v>
      </c>
      <c r="D72" s="632"/>
      <c r="E72" s="660"/>
    </row>
    <row r="73" spans="2:7" ht="16" thickBot="1">
      <c r="B73" s="661" t="s">
        <v>369</v>
      </c>
      <c r="C73" s="645">
        <f>-D16</f>
        <v>0</v>
      </c>
      <c r="D73" s="662"/>
      <c r="E73" s="663"/>
    </row>
    <row r="74" spans="2:7" ht="16.5" thickTop="1" thickBot="1">
      <c r="B74" s="664" t="s">
        <v>220</v>
      </c>
      <c r="C74" s="665"/>
      <c r="D74" s="666"/>
      <c r="E74" s="667">
        <f>IFERROR(E60+E64+E70,0)</f>
        <v>0</v>
      </c>
    </row>
    <row r="75" spans="2:7" ht="16" thickBot="1">
      <c r="B75" s="668"/>
      <c r="C75" s="668"/>
      <c r="D75" s="668"/>
      <c r="E75" s="669"/>
    </row>
    <row r="76" spans="2:7" ht="19" thickBot="1">
      <c r="B76" s="670" t="s">
        <v>221</v>
      </c>
      <c r="C76" s="671"/>
      <c r="D76" s="671"/>
      <c r="E76" s="672">
        <f>IF(E74&lt;0,0,E58-E74)</f>
        <v>0</v>
      </c>
    </row>
    <row r="78" spans="2:7" ht="15" thickBot="1"/>
    <row r="79" spans="2:7" ht="24" thickBot="1">
      <c r="B79" s="617" t="s">
        <v>880</v>
      </c>
      <c r="C79" s="618"/>
      <c r="D79" s="618"/>
      <c r="E79" s="673"/>
      <c r="F79" s="674"/>
      <c r="G79" s="674"/>
    </row>
    <row r="81" spans="2:5" ht="15" hidden="1" outlineLevel="1" thickBot="1"/>
    <row r="82" spans="2:5" ht="21.5" hidden="1" outlineLevel="1" thickBot="1">
      <c r="B82" s="675" t="s">
        <v>298</v>
      </c>
      <c r="C82" s="676"/>
      <c r="D82" s="676"/>
      <c r="E82" s="677"/>
    </row>
    <row r="83" spans="2:5" ht="15.5" hidden="1" outlineLevel="1">
      <c r="B83" s="78"/>
      <c r="C83" s="14"/>
      <c r="D83" s="14"/>
      <c r="E83" s="14"/>
    </row>
    <row r="84" spans="2:5" ht="18.5" hidden="1" outlineLevel="1">
      <c r="B84" s="1046" t="s">
        <v>299</v>
      </c>
      <c r="C84" s="1047"/>
      <c r="D84" s="1047"/>
      <c r="E84" s="1048"/>
    </row>
    <row r="85" spans="2:5" ht="15.5" hidden="1" outlineLevel="1">
      <c r="B85" s="78"/>
      <c r="C85" s="14"/>
      <c r="D85" s="14"/>
      <c r="E85" s="81"/>
    </row>
    <row r="86" spans="2:5" ht="15.5" hidden="1" outlineLevel="1">
      <c r="B86" s="83" t="s">
        <v>452</v>
      </c>
      <c r="C86" s="14"/>
      <c r="D86" s="14"/>
      <c r="E86" s="81"/>
    </row>
    <row r="87" spans="2:5" ht="15.5" hidden="1" outlineLevel="1">
      <c r="B87" s="83"/>
      <c r="C87" s="14"/>
      <c r="D87" s="14"/>
      <c r="E87" s="81"/>
    </row>
    <row r="88" spans="2:5" ht="15.5" hidden="1" outlineLevel="1">
      <c r="B88" s="92" t="s">
        <v>316</v>
      </c>
      <c r="C88" s="97" t="s">
        <v>248</v>
      </c>
      <c r="E88" s="81"/>
    </row>
    <row r="89" spans="2:5" ht="15.5" hidden="1" outlineLevel="1">
      <c r="B89" s="83" t="s">
        <v>292</v>
      </c>
      <c r="C89" s="398">
        <f>'A3. Peel Region Grants'!C98</f>
        <v>0</v>
      </c>
      <c r="D89" s="394"/>
      <c r="E89" s="81"/>
    </row>
    <row r="90" spans="2:5" ht="15.5" hidden="1" outlineLevel="1">
      <c r="B90" s="85" t="s">
        <v>295</v>
      </c>
      <c r="C90" s="398">
        <f>'A3. Peel Region Grants'!C99</f>
        <v>0</v>
      </c>
      <c r="D90" s="394"/>
      <c r="E90" s="81"/>
    </row>
    <row r="91" spans="2:5" ht="15.5" hidden="1" outlineLevel="1">
      <c r="B91" s="85" t="s">
        <v>296</v>
      </c>
      <c r="C91" s="398">
        <f>'A3. Peel Region Grants'!C100</f>
        <v>0</v>
      </c>
      <c r="E91" s="81"/>
    </row>
    <row r="92" spans="2:5" ht="15.5" hidden="1" outlineLevel="1">
      <c r="B92" s="93" t="s">
        <v>317</v>
      </c>
      <c r="C92" s="418">
        <f>+C89-C90-C91</f>
        <v>0</v>
      </c>
      <c r="E92" s="81"/>
    </row>
    <row r="93" spans="2:5" ht="15.5" hidden="1" outlineLevel="1">
      <c r="B93" s="83"/>
      <c r="C93" s="408"/>
      <c r="D93" s="394"/>
      <c r="E93" s="81"/>
    </row>
    <row r="94" spans="2:5" ht="15.5" hidden="1" outlineLevel="1">
      <c r="B94" s="92" t="s">
        <v>318</v>
      </c>
      <c r="C94" s="97" t="s">
        <v>248</v>
      </c>
      <c r="D94" s="678" t="s">
        <v>289</v>
      </c>
      <c r="E94" s="81"/>
    </row>
    <row r="95" spans="2:5" ht="15.5" hidden="1" outlineLevel="1">
      <c r="B95" s="83" t="s">
        <v>317</v>
      </c>
      <c r="C95" s="679">
        <f>C92</f>
        <v>0</v>
      </c>
      <c r="D95" s="680"/>
      <c r="E95" s="81"/>
    </row>
    <row r="96" spans="2:5" ht="15.5" hidden="1" outlineLevel="1">
      <c r="B96" s="681" t="s">
        <v>294</v>
      </c>
      <c r="C96" s="682">
        <f>+'A3. Peel Region Grants'!C105</f>
        <v>0</v>
      </c>
      <c r="D96" s="683">
        <f>IFERROR(C96/C92,0)</f>
        <v>0</v>
      </c>
      <c r="E96" s="81"/>
    </row>
    <row r="97" spans="2:5" ht="15.5" hidden="1" outlineLevel="1">
      <c r="B97" s="83" t="s">
        <v>293</v>
      </c>
      <c r="C97" s="679">
        <f>+C95-C96</f>
        <v>0</v>
      </c>
      <c r="D97" s="684"/>
      <c r="E97" s="81"/>
    </row>
    <row r="98" spans="2:5" ht="15.5" hidden="1" outlineLevel="1">
      <c r="B98" s="85" t="s">
        <v>319</v>
      </c>
      <c r="C98" s="682">
        <f>+'A3. Peel Region Grants'!C107</f>
        <v>0</v>
      </c>
      <c r="D98" s="683">
        <f>IFERROR(C98/C97,0)</f>
        <v>0</v>
      </c>
      <c r="E98" s="81"/>
    </row>
    <row r="99" spans="2:5" ht="15.5" hidden="1" outlineLevel="1">
      <c r="B99" s="93" t="s">
        <v>320</v>
      </c>
      <c r="C99" s="94">
        <f>+C97-C98</f>
        <v>0</v>
      </c>
      <c r="D99" s="685"/>
      <c r="E99" s="686"/>
    </row>
    <row r="100" spans="2:5" ht="15.5" hidden="1" outlineLevel="1">
      <c r="B100" s="78"/>
      <c r="C100" s="14"/>
      <c r="D100" s="14"/>
      <c r="E100" s="686"/>
    </row>
    <row r="101" spans="2:5" ht="18.5" hidden="1" outlineLevel="1">
      <c r="B101" s="1046" t="s">
        <v>291</v>
      </c>
      <c r="C101" s="1047"/>
      <c r="D101" s="1047"/>
      <c r="E101" s="1048"/>
    </row>
    <row r="102" spans="2:5" ht="15.5" hidden="1" outlineLevel="1">
      <c r="B102" s="83"/>
      <c r="D102" s="14"/>
      <c r="E102" s="81"/>
    </row>
    <row r="103" spans="2:5" ht="15.5" hidden="1" outlineLevel="1">
      <c r="B103" s="92" t="s">
        <v>316</v>
      </c>
      <c r="C103" s="97" t="s">
        <v>248</v>
      </c>
      <c r="D103" s="394"/>
      <c r="E103" s="56"/>
    </row>
    <row r="104" spans="2:5" ht="15.5" hidden="1" outlineLevel="1">
      <c r="B104" s="83" t="s">
        <v>479</v>
      </c>
      <c r="C104" s="687">
        <f>IF('A3. Peel Region Grants'!C98&lt;'A3. Peel Region Grants'!C114,'A3. Peel Region Grants'!C98,'A3. Peel Region Grants'!C114)</f>
        <v>0</v>
      </c>
      <c r="D104" s="394"/>
      <c r="E104" s="688" t="str">
        <f>IF(C108&gt;C92,"Final Net Project cost is higher than the Approved Net Project cost", " ")</f>
        <v xml:space="preserve"> </v>
      </c>
    </row>
    <row r="105" spans="2:5" ht="15.5" hidden="1" outlineLevel="1">
      <c r="B105" s="85" t="s">
        <v>295</v>
      </c>
      <c r="C105" s="398">
        <f>'A3. Peel Region Grants'!C115</f>
        <v>0</v>
      </c>
      <c r="D105" s="84"/>
      <c r="E105" s="688"/>
    </row>
    <row r="106" spans="2:5" ht="15.5" hidden="1" outlineLevel="1">
      <c r="B106" s="85" t="s">
        <v>296</v>
      </c>
      <c r="C106" s="398">
        <f>'A3. Peel Region Grants'!C116</f>
        <v>0</v>
      </c>
      <c r="D106" s="84"/>
      <c r="E106" s="688"/>
    </row>
    <row r="107" spans="2:5" ht="15.5" hidden="1" outlineLevel="1">
      <c r="B107" s="85" t="s">
        <v>321</v>
      </c>
      <c r="C107" s="687">
        <f>'A3. Peel Region Grants'!C117</f>
        <v>0</v>
      </c>
      <c r="D107" s="84"/>
      <c r="E107" s="688"/>
    </row>
    <row r="108" spans="2:5" ht="18.5" hidden="1" outlineLevel="1">
      <c r="B108" s="93" t="s">
        <v>451</v>
      </c>
      <c r="C108" s="689">
        <f>MIN(C104-C105-C106-C107,'A3. Peel Region Grants'!C118+'A3. Peel Region Grants'!C119)</f>
        <v>0</v>
      </c>
      <c r="D108" s="690"/>
      <c r="E108" s="688"/>
    </row>
    <row r="109" spans="2:5" ht="16" hidden="1" outlineLevel="1" thickBot="1">
      <c r="B109" s="83"/>
      <c r="C109" s="14"/>
      <c r="D109" s="14"/>
      <c r="E109" s="99"/>
    </row>
    <row r="110" spans="2:5" ht="15.5" hidden="1" outlineLevel="1">
      <c r="B110" s="691" t="s">
        <v>355</v>
      </c>
      <c r="C110" s="1100">
        <f>IF(C104=0,0,D40)</f>
        <v>0</v>
      </c>
      <c r="D110" s="692"/>
      <c r="E110" s="81"/>
    </row>
    <row r="111" spans="2:5" ht="19" hidden="1" outlineLevel="1" thickBot="1">
      <c r="B111" s="693" t="s">
        <v>356</v>
      </c>
      <c r="C111" s="1101"/>
      <c r="D111" s="692"/>
      <c r="E111" s="81"/>
    </row>
    <row r="112" spans="2:5" ht="15.5" hidden="1" outlineLevel="1">
      <c r="B112" s="83"/>
      <c r="D112" s="14"/>
      <c r="E112" s="81"/>
    </row>
    <row r="113" spans="1:5" ht="15.5" hidden="1" outlineLevel="1">
      <c r="B113" s="694" t="s">
        <v>354</v>
      </c>
      <c r="C113" s="695">
        <f>IF(D40&gt;C108,C108,D40)</f>
        <v>0</v>
      </c>
      <c r="D113" s="14"/>
      <c r="E113" s="56"/>
    </row>
    <row r="114" spans="1:5" ht="15.5" hidden="1" outlineLevel="1">
      <c r="B114" s="694"/>
      <c r="C114" s="695"/>
      <c r="D114" s="14"/>
      <c r="E114" s="56"/>
    </row>
    <row r="115" spans="1:5" ht="15.5" hidden="1" outlineLevel="1">
      <c r="B115" s="696" t="s">
        <v>463</v>
      </c>
      <c r="C115" s="697">
        <f>IF(C113-'A3. Peel Region Grants'!C118&gt;=0,'A3. Peel Region Grants'!C118,C113)</f>
        <v>0</v>
      </c>
      <c r="D115" s="698"/>
      <c r="E115" s="699"/>
    </row>
    <row r="116" spans="1:5" ht="15.5" hidden="1" outlineLevel="1">
      <c r="B116" s="696" t="s">
        <v>873</v>
      </c>
      <c r="C116" s="697">
        <f>C113-C115</f>
        <v>0</v>
      </c>
      <c r="D116" s="698"/>
      <c r="E116" s="699"/>
    </row>
    <row r="117" spans="1:5" ht="15.5" hidden="1" outlineLevel="1">
      <c r="B117" s="700" t="s">
        <v>488</v>
      </c>
      <c r="C117" s="697">
        <f>IF(C113&gt;C108*D98,0,C108*D98-C113)</f>
        <v>0</v>
      </c>
      <c r="D117" s="692"/>
      <c r="E117" s="699"/>
    </row>
    <row r="118" spans="1:5" ht="15.5" hidden="1" outlineLevel="1">
      <c r="B118" s="694" t="s">
        <v>322</v>
      </c>
      <c r="C118" s="697">
        <f>+C108-C113-C117</f>
        <v>0</v>
      </c>
      <c r="D118" s="692"/>
      <c r="E118" s="699"/>
    </row>
    <row r="119" spans="1:5" ht="16" hidden="1" outlineLevel="1" thickBot="1">
      <c r="B119" s="701" t="s">
        <v>323</v>
      </c>
      <c r="C119" s="702">
        <f>+C113+C117+C118</f>
        <v>0</v>
      </c>
      <c r="D119" s="692"/>
      <c r="E119" s="699"/>
    </row>
    <row r="120" spans="1:5" ht="16" hidden="1" outlineLevel="1" thickTop="1">
      <c r="B120" s="85"/>
      <c r="C120" s="703"/>
      <c r="D120" s="692"/>
      <c r="E120" s="699"/>
    </row>
    <row r="121" spans="1:5" ht="16" hidden="1" outlineLevel="1" thickBot="1">
      <c r="B121" s="704"/>
      <c r="C121" s="705"/>
      <c r="D121" s="706"/>
      <c r="E121" s="82"/>
    </row>
    <row r="122" spans="1:5" ht="15.5" collapsed="1">
      <c r="A122" s="371" t="s">
        <v>818</v>
      </c>
      <c r="C122" s="87"/>
    </row>
  </sheetData>
  <sheetProtection algorithmName="SHA-512" hashValue="sh/qLx50pn26cx7gMYQLRnCOXfM94+/X93Q9UtrNqtDOTo5jhl7y4irK6LwYxfndGoc7CTc1SugH32frDkEI7Q==" saltValue="rohF0z+IVtBvDujhHAFzAw==" spinCount="100000" sheet="1" objects="1" scenarios="1" formatRows="0"/>
  <mergeCells count="21">
    <mergeCell ref="B1:E1"/>
    <mergeCell ref="B3:E3"/>
    <mergeCell ref="B4:E4"/>
    <mergeCell ref="B10:C10"/>
    <mergeCell ref="B16:C16"/>
    <mergeCell ref="B8:C8"/>
    <mergeCell ref="B6:E6"/>
    <mergeCell ref="B9:C9"/>
    <mergeCell ref="B13:C13"/>
    <mergeCell ref="B14:C14"/>
    <mergeCell ref="C110:C111"/>
    <mergeCell ref="B15:C15"/>
    <mergeCell ref="B11:C11"/>
    <mergeCell ref="B53:D53"/>
    <mergeCell ref="B54:D54"/>
    <mergeCell ref="B50:D50"/>
    <mergeCell ref="B51:D51"/>
    <mergeCell ref="B52:D52"/>
    <mergeCell ref="B18:C18"/>
    <mergeCell ref="B101:E101"/>
    <mergeCell ref="B84:E84"/>
  </mergeCells>
  <phoneticPr fontId="5" type="noConversion"/>
  <pageMargins left="0.7" right="0.7" top="0.75" bottom="0.75" header="0.3" footer="0.3"/>
  <pageSetup scale="38"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794FB-984D-4E06-9E28-5867912E160B}">
  <sheetPr>
    <tabColor theme="4" tint="0.59999389629810485"/>
  </sheetPr>
  <dimension ref="A1:M37"/>
  <sheetViews>
    <sheetView showGridLines="0" workbookViewId="0">
      <selection activeCell="B1" sqref="B1:H1"/>
    </sheetView>
  </sheetViews>
  <sheetFormatPr defaultColWidth="9.1796875" defaultRowHeight="14.5"/>
  <cols>
    <col min="1" max="1" width="2.81640625" bestFit="1" customWidth="1"/>
    <col min="2" max="2" width="29.453125" customWidth="1"/>
    <col min="3" max="3" width="22.54296875" customWidth="1"/>
    <col min="4" max="4" width="10" customWidth="1"/>
    <col min="5" max="5" width="26.81640625" customWidth="1"/>
    <col min="6" max="6" width="16" customWidth="1"/>
    <col min="7" max="7" width="16.81640625" customWidth="1"/>
    <col min="8" max="8" width="16.453125" customWidth="1"/>
    <col min="9" max="9" width="18.54296875" customWidth="1"/>
    <col min="10" max="10" width="14.453125" customWidth="1"/>
    <col min="11" max="11" width="14" customWidth="1"/>
    <col min="12" max="12" width="14.81640625" customWidth="1"/>
    <col min="13" max="13" width="16.453125" customWidth="1"/>
    <col min="14" max="14" width="13.26953125" customWidth="1"/>
    <col min="15" max="15" width="11.453125" customWidth="1"/>
    <col min="16" max="16" width="15.453125" customWidth="1"/>
    <col min="17" max="17" width="15.6328125" customWidth="1"/>
    <col min="18" max="18" width="11.1796875" customWidth="1"/>
    <col min="19" max="19" width="15.453125" customWidth="1"/>
  </cols>
  <sheetData>
    <row r="1" spans="1:12" ht="26">
      <c r="B1" s="1125" t="s">
        <v>744</v>
      </c>
      <c r="C1" s="1126"/>
      <c r="D1" s="1126"/>
      <c r="E1" s="1126"/>
      <c r="F1" s="1126"/>
      <c r="G1" s="1126"/>
      <c r="H1" s="1127"/>
      <c r="I1" s="114" t="s">
        <v>109</v>
      </c>
      <c r="J1" s="113" t="str">
        <f>IF('A1. Identification'!$D$13=0, " ",'A1. Identification'!$D$13)</f>
        <v xml:space="preserve"> </v>
      </c>
    </row>
    <row r="2" spans="1:12" ht="21" customHeight="1">
      <c r="B2" s="707"/>
      <c r="C2" s="708"/>
      <c r="D2" s="708"/>
      <c r="E2" s="708"/>
      <c r="F2" s="708"/>
      <c r="G2" s="708"/>
      <c r="H2" s="709"/>
      <c r="I2" s="114" t="s">
        <v>303</v>
      </c>
      <c r="J2" s="113" t="str">
        <f>'A6. Operations'!L2</f>
        <v>Please enter Ministry licence number on tab A6 row 7</v>
      </c>
    </row>
    <row r="3" spans="1:12" ht="23.5">
      <c r="B3" s="1114" t="str">
        <f>IF('A1. Identification'!D7=0, "2025 FAIR, CWELCC and OTEF Reconciliation for Single Site Operators",'A1. Identification'!D7)</f>
        <v>2025 FAIR, CWELCC and OTEF Reconciliation for Single Site Operators</v>
      </c>
      <c r="C3" s="1115"/>
      <c r="D3" s="1115"/>
      <c r="E3" s="1115"/>
      <c r="F3" s="1115"/>
      <c r="G3" s="1115"/>
      <c r="H3" s="1131"/>
    </row>
    <row r="4" spans="1:12" ht="24" thickBot="1">
      <c r="B4" s="1132" t="s">
        <v>494</v>
      </c>
      <c r="C4" s="1117"/>
      <c r="D4" s="1117"/>
      <c r="E4" s="1117"/>
      <c r="F4" s="1117"/>
      <c r="G4" s="1117"/>
      <c r="H4" s="1133"/>
    </row>
    <row r="6" spans="1:12" ht="21" customHeight="1">
      <c r="B6" s="106" t="s">
        <v>797</v>
      </c>
      <c r="C6" s="710"/>
      <c r="D6" s="710"/>
      <c r="E6" s="710"/>
      <c r="F6" s="710"/>
      <c r="G6" s="710"/>
      <c r="H6" s="710"/>
    </row>
    <row r="7" spans="1:12" ht="15" thickBot="1"/>
    <row r="8" spans="1:12" ht="21.5" thickBot="1">
      <c r="B8" s="1128" t="s">
        <v>334</v>
      </c>
      <c r="C8" s="1129"/>
      <c r="D8" s="1129"/>
      <c r="E8" s="1129"/>
      <c r="F8" s="1129"/>
      <c r="G8" s="1129"/>
      <c r="H8" s="1130"/>
    </row>
    <row r="10" spans="1:12" ht="15" thickBot="1">
      <c r="A10" s="711"/>
      <c r="B10" s="712"/>
      <c r="C10" s="712"/>
    </row>
    <row r="11" spans="1:12" ht="58.5" thickBot="1">
      <c r="A11" s="713" t="s">
        <v>223</v>
      </c>
      <c r="B11" s="714" t="s">
        <v>224</v>
      </c>
      <c r="C11" s="714" t="s">
        <v>225</v>
      </c>
      <c r="D11" s="714" t="s">
        <v>226</v>
      </c>
      <c r="E11" s="714" t="s">
        <v>227</v>
      </c>
      <c r="F11" s="714" t="s">
        <v>228</v>
      </c>
      <c r="G11" s="714" t="s">
        <v>229</v>
      </c>
      <c r="H11" s="714" t="s">
        <v>230</v>
      </c>
    </row>
    <row r="12" spans="1:12" ht="15" thickBot="1">
      <c r="A12" s="715">
        <v>1</v>
      </c>
      <c r="B12" s="715" t="s">
        <v>27</v>
      </c>
      <c r="C12" s="716">
        <f>+'A2.Allocation &amp; Operating Plan'!E10</f>
        <v>0</v>
      </c>
      <c r="D12" s="716">
        <v>0</v>
      </c>
      <c r="E12" s="717">
        <v>0</v>
      </c>
      <c r="F12" s="716">
        <v>0</v>
      </c>
      <c r="G12" s="716">
        <f>D12+E12+F12</f>
        <v>0</v>
      </c>
      <c r="H12" s="716">
        <f>C12-G12</f>
        <v>0</v>
      </c>
    </row>
    <row r="13" spans="1:12" ht="15" thickBot="1">
      <c r="A13" s="715">
        <v>2</v>
      </c>
      <c r="B13" s="715" t="s">
        <v>231</v>
      </c>
      <c r="C13" s="716">
        <f>+'A2.Allocation &amp; Operating Plan'!E11</f>
        <v>0</v>
      </c>
      <c r="D13" s="716">
        <v>0</v>
      </c>
      <c r="E13" s="717">
        <v>0</v>
      </c>
      <c r="F13" s="716">
        <v>0</v>
      </c>
      <c r="G13" s="716">
        <f t="shared" ref="G13:G21" si="0">D13+E13+F13</f>
        <v>0</v>
      </c>
      <c r="H13" s="716">
        <f t="shared" ref="H13:H19" si="1">C13-G13</f>
        <v>0</v>
      </c>
      <c r="K13" s="7"/>
      <c r="L13" s="7"/>
    </row>
    <row r="14" spans="1:12" ht="15" thickBot="1">
      <c r="A14" s="715">
        <v>3</v>
      </c>
      <c r="B14" s="715" t="s">
        <v>232</v>
      </c>
      <c r="C14" s="716">
        <f>+'A2.Allocation &amp; Operating Plan'!E12</f>
        <v>0</v>
      </c>
      <c r="D14" s="716">
        <v>0</v>
      </c>
      <c r="E14" s="717">
        <v>0</v>
      </c>
      <c r="F14" s="716">
        <v>0</v>
      </c>
      <c r="G14" s="716">
        <f t="shared" si="0"/>
        <v>0</v>
      </c>
      <c r="H14" s="716">
        <f t="shared" si="1"/>
        <v>0</v>
      </c>
    </row>
    <row r="15" spans="1:12" ht="15" thickBot="1">
      <c r="A15" s="715">
        <v>4</v>
      </c>
      <c r="B15" s="715" t="s">
        <v>233</v>
      </c>
      <c r="C15" s="716">
        <f>+'A2.Allocation &amp; Operating Plan'!E13</f>
        <v>0</v>
      </c>
      <c r="D15" s="716">
        <v>0</v>
      </c>
      <c r="E15" s="717">
        <v>0</v>
      </c>
      <c r="F15" s="716">
        <v>0</v>
      </c>
      <c r="G15" s="716">
        <f t="shared" si="0"/>
        <v>0</v>
      </c>
      <c r="H15" s="716">
        <f t="shared" si="1"/>
        <v>0</v>
      </c>
    </row>
    <row r="16" spans="1:12" ht="15" thickBot="1">
      <c r="A16" s="715">
        <v>5</v>
      </c>
      <c r="B16" s="715" t="s">
        <v>234</v>
      </c>
      <c r="C16" s="716">
        <f>+'A2.Allocation &amp; Operating Plan'!E14</f>
        <v>0</v>
      </c>
      <c r="D16" s="716">
        <v>0</v>
      </c>
      <c r="E16" s="717">
        <v>0</v>
      </c>
      <c r="F16" s="716">
        <v>0</v>
      </c>
      <c r="G16" s="716">
        <f t="shared" si="0"/>
        <v>0</v>
      </c>
      <c r="H16" s="716">
        <f t="shared" si="1"/>
        <v>0</v>
      </c>
    </row>
    <row r="17" spans="1:12" ht="15" thickBot="1">
      <c r="A17" s="715">
        <v>6</v>
      </c>
      <c r="B17" s="715" t="s">
        <v>235</v>
      </c>
      <c r="C17" s="716">
        <f>+'A2.Allocation &amp; Operating Plan'!E15</f>
        <v>0</v>
      </c>
      <c r="D17" s="716">
        <v>0</v>
      </c>
      <c r="E17" s="717">
        <v>0</v>
      </c>
      <c r="F17" s="716">
        <v>0</v>
      </c>
      <c r="G17" s="716">
        <f t="shared" si="0"/>
        <v>0</v>
      </c>
      <c r="H17" s="716">
        <f t="shared" si="1"/>
        <v>0</v>
      </c>
    </row>
    <row r="18" spans="1:12" ht="15" thickBot="1">
      <c r="A18" s="715">
        <v>7</v>
      </c>
      <c r="B18" s="715" t="s">
        <v>236</v>
      </c>
      <c r="C18" s="716">
        <f>+'A2.Allocation &amp; Operating Plan'!E16</f>
        <v>0</v>
      </c>
      <c r="D18" s="716">
        <v>0</v>
      </c>
      <c r="E18" s="717">
        <v>0</v>
      </c>
      <c r="F18" s="716">
        <v>0</v>
      </c>
      <c r="G18" s="716">
        <f t="shared" si="0"/>
        <v>0</v>
      </c>
      <c r="H18" s="716">
        <f t="shared" si="1"/>
        <v>0</v>
      </c>
    </row>
    <row r="19" spans="1:12" ht="29.5" thickBot="1">
      <c r="A19" s="715">
        <v>8</v>
      </c>
      <c r="B19" s="715" t="s">
        <v>88</v>
      </c>
      <c r="C19" s="716">
        <f>'A2.Allocation &amp; Operating Plan'!E18</f>
        <v>0</v>
      </c>
      <c r="D19" s="716">
        <v>0</v>
      </c>
      <c r="E19" s="717">
        <v>0</v>
      </c>
      <c r="F19" s="716">
        <v>0</v>
      </c>
      <c r="G19" s="716">
        <f t="shared" si="0"/>
        <v>0</v>
      </c>
      <c r="H19" s="716">
        <f t="shared" si="1"/>
        <v>0</v>
      </c>
    </row>
    <row r="20" spans="1:12" ht="20.5" thickBot="1">
      <c r="A20" s="715">
        <v>9</v>
      </c>
      <c r="B20" s="715" t="s">
        <v>237</v>
      </c>
      <c r="C20" s="716">
        <v>0</v>
      </c>
      <c r="D20" s="716">
        <v>0</v>
      </c>
      <c r="E20" s="718">
        <f>ROUND('A7. 2025 CWELCC &amp; OTEF Recon'!E74-'A7. 2025 CWELCC &amp; OTEF Recon'!E64,2)</f>
        <v>0</v>
      </c>
      <c r="F20" s="716">
        <v>0</v>
      </c>
      <c r="G20" s="716">
        <f t="shared" si="0"/>
        <v>0</v>
      </c>
      <c r="H20" s="716">
        <f>C20-E20</f>
        <v>0</v>
      </c>
    </row>
    <row r="21" spans="1:12" ht="15" thickBot="1">
      <c r="A21" s="715">
        <v>10</v>
      </c>
      <c r="B21" s="715" t="s">
        <v>91</v>
      </c>
      <c r="C21" s="716">
        <v>0</v>
      </c>
      <c r="D21" s="716">
        <v>0</v>
      </c>
      <c r="E21" s="716">
        <v>0</v>
      </c>
      <c r="F21" s="716">
        <v>0</v>
      </c>
      <c r="G21" s="716">
        <f t="shared" si="0"/>
        <v>0</v>
      </c>
      <c r="H21" s="716">
        <f>C21-E21</f>
        <v>0</v>
      </c>
      <c r="K21" s="57"/>
    </row>
    <row r="22" spans="1:12" ht="15" thickBot="1">
      <c r="A22" s="715"/>
      <c r="B22" s="715" t="s">
        <v>87</v>
      </c>
      <c r="C22" s="719">
        <f t="shared" ref="C22:G22" si="2">SUM(C12:C21)</f>
        <v>0</v>
      </c>
      <c r="D22" s="719">
        <f t="shared" si="2"/>
        <v>0</v>
      </c>
      <c r="E22" s="719">
        <f t="shared" si="2"/>
        <v>0</v>
      </c>
      <c r="F22" s="719">
        <f t="shared" si="2"/>
        <v>0</v>
      </c>
      <c r="G22" s="719">
        <f t="shared" si="2"/>
        <v>0</v>
      </c>
      <c r="H22" s="720">
        <f>MAX(0,ROUND(SUM(H12:H21),2))</f>
        <v>0</v>
      </c>
      <c r="J22" s="287"/>
      <c r="K22" s="57"/>
      <c r="L22" s="287"/>
    </row>
    <row r="23" spans="1:12">
      <c r="A23" s="8"/>
      <c r="B23" s="8"/>
      <c r="C23" s="721"/>
      <c r="D23" s="721"/>
      <c r="E23" s="721"/>
      <c r="F23" s="721"/>
      <c r="G23" s="721"/>
      <c r="H23" s="721"/>
      <c r="J23" s="57"/>
      <c r="K23" s="287"/>
    </row>
    <row r="24" spans="1:12">
      <c r="A24" s="8"/>
      <c r="B24" s="8"/>
      <c r="C24" s="721"/>
      <c r="D24" s="721"/>
      <c r="E24" s="721"/>
      <c r="F24" s="721"/>
      <c r="G24" s="721"/>
      <c r="H24" s="721"/>
      <c r="J24" s="287"/>
      <c r="K24" s="57"/>
    </row>
    <row r="25" spans="1:12" ht="15" thickBot="1">
      <c r="A25" s="8"/>
      <c r="B25" s="8"/>
      <c r="C25" s="721"/>
      <c r="D25" s="721"/>
      <c r="E25" s="721"/>
      <c r="F25" s="721"/>
      <c r="G25" s="721"/>
      <c r="H25" s="721"/>
      <c r="K25" s="287"/>
    </row>
    <row r="26" spans="1:12" ht="21.5" thickBot="1">
      <c r="A26" s="8"/>
      <c r="B26" s="1128" t="s">
        <v>335</v>
      </c>
      <c r="C26" s="1129"/>
      <c r="D26" s="1129"/>
      <c r="E26" s="1129"/>
      <c r="F26" s="1129"/>
      <c r="G26" s="1129"/>
      <c r="H26" s="1130"/>
    </row>
    <row r="27" spans="1:12" ht="21">
      <c r="A27" s="8"/>
      <c r="B27" s="722"/>
      <c r="C27" s="722"/>
      <c r="D27" s="722"/>
      <c r="E27" s="722"/>
      <c r="F27" s="722"/>
      <c r="G27" s="722"/>
      <c r="H27" s="721"/>
    </row>
    <row r="28" spans="1:12" ht="15" thickBot="1">
      <c r="K28" s="57"/>
    </row>
    <row r="29" spans="1:12" ht="58.5" thickBot="1">
      <c r="A29" s="713" t="s">
        <v>223</v>
      </c>
      <c r="B29" s="714" t="s">
        <v>224</v>
      </c>
      <c r="C29" s="714" t="s">
        <v>225</v>
      </c>
      <c r="D29" s="714" t="s">
        <v>226</v>
      </c>
      <c r="E29" s="714" t="s">
        <v>227</v>
      </c>
      <c r="F29" s="714" t="s">
        <v>228</v>
      </c>
      <c r="G29" s="714" t="s">
        <v>229</v>
      </c>
      <c r="H29" s="714" t="s">
        <v>230</v>
      </c>
      <c r="J29" s="287"/>
    </row>
    <row r="30" spans="1:12" ht="20.5" thickBot="1">
      <c r="A30" s="715">
        <v>1</v>
      </c>
      <c r="B30" s="715" t="s">
        <v>238</v>
      </c>
      <c r="C30" s="716">
        <f>'A2.Allocation &amp; Operating Plan'!E20</f>
        <v>0</v>
      </c>
      <c r="D30" s="716">
        <v>0</v>
      </c>
      <c r="E30" s="718">
        <f>ROUND('A7. 2025 CWELCC &amp; OTEF Recon'!E64,2)</f>
        <v>0</v>
      </c>
      <c r="F30" s="716">
        <v>0</v>
      </c>
      <c r="G30" s="716">
        <v>0</v>
      </c>
      <c r="H30" s="723">
        <f>C30-E30</f>
        <v>0</v>
      </c>
      <c r="J30" s="724"/>
      <c r="K30" s="605"/>
    </row>
    <row r="32" spans="1:12" ht="15" thickBot="1"/>
    <row r="33" spans="1:13" ht="21.5" thickBot="1">
      <c r="B33" s="1128" t="s">
        <v>336</v>
      </c>
      <c r="C33" s="1129"/>
      <c r="D33" s="1129"/>
      <c r="E33" s="1129"/>
      <c r="F33" s="1129"/>
      <c r="G33" s="1129"/>
      <c r="H33" s="1130"/>
    </row>
    <row r="34" spans="1:13" ht="15" thickBot="1"/>
    <row r="35" spans="1:13" ht="58.5" thickBot="1">
      <c r="A35" s="725" t="s">
        <v>223</v>
      </c>
      <c r="B35" s="714" t="s">
        <v>224</v>
      </c>
      <c r="C35" s="714" t="s">
        <v>225</v>
      </c>
      <c r="D35" s="714" t="s">
        <v>226</v>
      </c>
      <c r="E35" s="714" t="s">
        <v>227</v>
      </c>
      <c r="F35" s="714" t="s">
        <v>228</v>
      </c>
      <c r="G35" s="714" t="s">
        <v>229</v>
      </c>
      <c r="H35" s="714" t="s">
        <v>230</v>
      </c>
    </row>
    <row r="36" spans="1:13" ht="20.5" thickBot="1">
      <c r="A36" s="726">
        <v>1</v>
      </c>
      <c r="B36" s="727" t="s">
        <v>409</v>
      </c>
      <c r="C36" s="716">
        <f>'A3. Peel Region Grants'!C108</f>
        <v>0</v>
      </c>
      <c r="D36" s="716">
        <v>0</v>
      </c>
      <c r="E36" s="718">
        <f>IF(C36&lt;'A7. 2025 CWELCC &amp; OTEF Recon'!C118,C36,'A7. 2025 CWELCC &amp; OTEF Recon'!C118)</f>
        <v>0</v>
      </c>
      <c r="F36" s="716">
        <v>0</v>
      </c>
      <c r="G36" s="716">
        <v>0</v>
      </c>
      <c r="H36" s="723">
        <f>C36-E36</f>
        <v>0</v>
      </c>
      <c r="I36" s="728" t="str">
        <f>'A7. 2025 CWELCC &amp; OTEF Recon'!B45</f>
        <v xml:space="preserve"> </v>
      </c>
    </row>
    <row r="37" spans="1:13" ht="20.5" thickBot="1">
      <c r="A37" s="729">
        <v>2</v>
      </c>
      <c r="B37" s="727" t="s">
        <v>408</v>
      </c>
      <c r="C37" s="716">
        <f>'A3. Peel Region Grants'!C68</f>
        <v>0</v>
      </c>
      <c r="D37" s="716">
        <v>0</v>
      </c>
      <c r="E37" s="718">
        <f>MIN('A3. Peel Region Grants'!C82,C37)</f>
        <v>0</v>
      </c>
      <c r="F37" s="716">
        <v>0</v>
      </c>
      <c r="G37" s="716">
        <v>0</v>
      </c>
      <c r="H37" s="723">
        <f>C37-E37</f>
        <v>0</v>
      </c>
      <c r="I37" s="728" t="str">
        <f>IF(E37='A3. Peel Region Grants'!C68," ",IF('A3. Peel Region Grants'!C54="No","Please complete the GovGrants reconciliation when the project is complete, using tab a3 OTEF major capital section", " "))</f>
        <v xml:space="preserve"> </v>
      </c>
      <c r="J37" s="728"/>
      <c r="K37" s="728"/>
      <c r="L37" s="728"/>
      <c r="M37" s="728"/>
    </row>
  </sheetData>
  <sheetProtection algorithmName="SHA-512" hashValue="jzLC8BGG8I1Yet6uxSiAlnGUYIqXe6j+kdEowM5nuIHDL3nOF6RB7qmktYuxVMhwpBlth98wO8LSboFqNKRsHA==" saltValue="Ei94WKYFN9fsrPg0Hzkw+Q==" spinCount="100000" sheet="1" objects="1" scenarios="1"/>
  <mergeCells count="6">
    <mergeCell ref="B1:H1"/>
    <mergeCell ref="B33:H33"/>
    <mergeCell ref="B3:H3"/>
    <mergeCell ref="B4:H4"/>
    <mergeCell ref="B8:H8"/>
    <mergeCell ref="B26:H26"/>
  </mergeCells>
  <conditionalFormatting sqref="H20">
    <cfRule type="cellIs" dxfId="19" priority="1" operator="lessThan">
      <formula>0</formula>
    </cfRule>
  </conditionalFormatting>
  <pageMargins left="0.75" right="0.75" top="1" bottom="1" header="0.5" footer="0.5"/>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33F29-6C00-414F-99EE-F47059B976C6}">
  <sheetPr>
    <tabColor theme="4" tint="0.59999389629810485"/>
  </sheetPr>
  <dimension ref="B1:P45"/>
  <sheetViews>
    <sheetView showGridLines="0" workbookViewId="0">
      <selection activeCell="B2" sqref="B2:F2"/>
    </sheetView>
  </sheetViews>
  <sheetFormatPr defaultColWidth="9.1796875" defaultRowHeight="14.5"/>
  <cols>
    <col min="1" max="1" width="5.453125" customWidth="1"/>
    <col min="2" max="2" width="43.26953125" customWidth="1"/>
    <col min="3" max="3" width="18.54296875" customWidth="1"/>
    <col min="4" max="4" width="16.453125" customWidth="1"/>
    <col min="5" max="5" width="19.26953125" customWidth="1"/>
    <col min="6" max="6" width="14.6328125" customWidth="1"/>
    <col min="7" max="7" width="17.26953125" bestFit="1" customWidth="1"/>
    <col min="8" max="8" width="19.26953125" customWidth="1"/>
    <col min="9" max="9" width="13.54296875" bestFit="1" customWidth="1"/>
    <col min="10" max="10" width="14.26953125" bestFit="1" customWidth="1"/>
    <col min="11" max="11" width="11.81640625" customWidth="1"/>
    <col min="13" max="13" width="12" customWidth="1"/>
  </cols>
  <sheetData>
    <row r="1" spans="2:11" ht="26">
      <c r="B1" s="1134" t="s">
        <v>858</v>
      </c>
      <c r="C1" s="1126"/>
      <c r="D1" s="1126"/>
      <c r="E1" s="1126"/>
      <c r="F1" s="1127"/>
      <c r="G1" s="112" t="s">
        <v>109</v>
      </c>
      <c r="H1" s="113" t="str">
        <f>IF('A1. Identification'!$D$13=0, " ",'A1. Identification'!$D$13)</f>
        <v xml:space="preserve"> </v>
      </c>
    </row>
    <row r="2" spans="2:11" ht="26.5" thickBot="1">
      <c r="B2" s="1135" t="s">
        <v>859</v>
      </c>
      <c r="C2" s="1136"/>
      <c r="D2" s="1136"/>
      <c r="E2" s="1136"/>
      <c r="F2" s="1137"/>
      <c r="G2" s="112" t="s">
        <v>303</v>
      </c>
      <c r="H2" s="113" t="str">
        <f>'A8. GovGrants input'!J2</f>
        <v>Please enter Ministry licence number on tab A6 row 7</v>
      </c>
    </row>
    <row r="3" spans="2:11" ht="24" customHeight="1"/>
    <row r="4" spans="2:11" ht="23.5">
      <c r="B4" s="1114" t="str">
        <f>IF('A1. Identification'!D7=0, "2025 FAIR, CWELCC and OTEF Reconciliation for Single Site Operators",'A1. Identification'!D7)</f>
        <v>2025 FAIR, CWELCC and OTEF Reconciliation for Single Site Operators</v>
      </c>
      <c r="C4" s="1115"/>
      <c r="D4" s="1115"/>
      <c r="E4" s="1115"/>
      <c r="F4" s="1115"/>
    </row>
    <row r="5" spans="2:11" ht="23.5">
      <c r="B5" s="1114" t="s">
        <v>819</v>
      </c>
      <c r="C5" s="1115"/>
      <c r="D5" s="1115"/>
      <c r="E5" s="1115"/>
      <c r="F5" s="1115"/>
    </row>
    <row r="6" spans="2:11" ht="23.5">
      <c r="B6" s="1114" t="s">
        <v>430</v>
      </c>
      <c r="C6" s="1115"/>
      <c r="D6" s="1115"/>
      <c r="E6" s="1115"/>
      <c r="F6" s="1115"/>
    </row>
    <row r="7" spans="2:11" ht="23.5">
      <c r="B7" s="619"/>
      <c r="C7" s="619"/>
      <c r="D7" s="619"/>
      <c r="E7" s="619"/>
      <c r="F7" s="619"/>
    </row>
    <row r="8" spans="2:11" ht="16.5" customHeight="1">
      <c r="B8" s="1041" t="s">
        <v>952</v>
      </c>
      <c r="C8" s="1041"/>
      <c r="D8" s="1041"/>
      <c r="E8" s="1041"/>
      <c r="F8" s="1041"/>
    </row>
    <row r="9" spans="2:11" ht="35.25" customHeight="1">
      <c r="B9" s="1041"/>
      <c r="C9" s="1041"/>
      <c r="D9" s="1041"/>
      <c r="E9" s="1041"/>
      <c r="F9" s="1041"/>
      <c r="H9" s="57"/>
      <c r="I9" s="57"/>
      <c r="J9" s="57"/>
    </row>
    <row r="10" spans="2:11" ht="21" customHeight="1" thickBot="1">
      <c r="B10" s="730"/>
      <c r="C10" s="730"/>
      <c r="D10" s="730"/>
      <c r="E10" s="730"/>
      <c r="F10" s="731"/>
    </row>
    <row r="11" spans="2:11" ht="27" customHeight="1" thickBot="1">
      <c r="B11" s="732" t="s">
        <v>209</v>
      </c>
      <c r="C11" s="732" t="s">
        <v>210</v>
      </c>
      <c r="D11" s="733" t="s">
        <v>211</v>
      </c>
      <c r="E11" s="734" t="s">
        <v>212</v>
      </c>
      <c r="F11" s="735" t="s">
        <v>340</v>
      </c>
      <c r="H11" s="57"/>
      <c r="J11" s="57"/>
      <c r="K11" s="57"/>
    </row>
    <row r="12" spans="2:11" ht="15.5">
      <c r="B12" s="736" t="s">
        <v>213</v>
      </c>
      <c r="C12" s="737"/>
      <c r="D12" s="738"/>
      <c r="E12" s="739"/>
      <c r="F12" s="740"/>
    </row>
    <row r="13" spans="2:11" ht="15.5">
      <c r="B13" s="741" t="s">
        <v>214</v>
      </c>
      <c r="C13" s="742">
        <f>'A2.Allocation &amp; Operating Plan'!E19</f>
        <v>0</v>
      </c>
      <c r="D13" s="743">
        <f>MIN('A7. 2025 CWELCC &amp; OTEF Recon'!E74-'A7. 2025 CWELCC &amp; OTEF Recon'!E64,C13)</f>
        <v>0</v>
      </c>
      <c r="E13" s="744">
        <f>ROUND(C13-D13,2)</f>
        <v>0</v>
      </c>
      <c r="F13" s="745"/>
    </row>
    <row r="14" spans="2:11" ht="15.5">
      <c r="B14" s="741" t="s">
        <v>215</v>
      </c>
      <c r="C14" s="742">
        <f>'A2.Allocation &amp; Operating Plan'!E20</f>
        <v>0</v>
      </c>
      <c r="D14" s="743">
        <f>MIN('A7. 2025 CWELCC &amp; OTEF Recon'!E64,C14)</f>
        <v>0</v>
      </c>
      <c r="E14" s="744">
        <f>ROUND(C14-D14,2)</f>
        <v>0</v>
      </c>
      <c r="F14" s="745"/>
      <c r="G14" s="728" t="str">
        <f>IF(E14&gt;0,"* In Lieu of Profit/Surplus recovery resulting from underspending of Program Cost Allocation"," ")</f>
        <v xml:space="preserve"> </v>
      </c>
    </row>
    <row r="15" spans="2:11" ht="15.5">
      <c r="B15" s="741" t="s">
        <v>382</v>
      </c>
      <c r="C15" s="742">
        <f>'A3. Peel Region Grants'!C108</f>
        <v>0</v>
      </c>
      <c r="D15" s="743">
        <f>IFERROR(MIN('A7. 2025 CWELCC &amp; OTEF Recon'!C118,C15),0)</f>
        <v>0</v>
      </c>
      <c r="E15" s="744">
        <f>C15-D15</f>
        <v>0</v>
      </c>
      <c r="F15" s="746"/>
      <c r="G15" s="728" t="str">
        <f>'A8. GovGrants input'!I36</f>
        <v xml:space="preserve"> </v>
      </c>
    </row>
    <row r="16" spans="2:11" ht="16" thickBot="1">
      <c r="B16" s="747" t="s">
        <v>216</v>
      </c>
      <c r="C16" s="748">
        <f>SUM(C13:C15)</f>
        <v>0</v>
      </c>
      <c r="D16" s="749">
        <f>SUM(D13:D15)</f>
        <v>0</v>
      </c>
      <c r="E16" s="750">
        <f>SUM(E13:E15)</f>
        <v>0</v>
      </c>
      <c r="F16" s="746"/>
    </row>
    <row r="17" spans="2:16" ht="16" thickBot="1">
      <c r="B17" s="751" t="s">
        <v>217</v>
      </c>
      <c r="C17" s="752">
        <f>'A3. Peel Region Grants'!C150</f>
        <v>0</v>
      </c>
      <c r="D17" s="753">
        <f>MIN('A3. Peel Region Grants'!D150,C17)</f>
        <v>0</v>
      </c>
      <c r="E17" s="752">
        <f>C17-D17</f>
        <v>0</v>
      </c>
      <c r="F17" s="754"/>
      <c r="G17" s="7"/>
      <c r="H17" s="7"/>
      <c r="I17" s="7"/>
      <c r="J17" s="7"/>
      <c r="K17" s="7"/>
    </row>
    <row r="18" spans="2:16" ht="14.25" customHeight="1" thickBot="1">
      <c r="B18" s="751" t="s">
        <v>396</v>
      </c>
      <c r="C18" s="752">
        <f>'A3. Peel Region Grants'!D40</f>
        <v>0</v>
      </c>
      <c r="D18" s="753">
        <f>MIN('A3. Peel Region Grants'!E40,C18)</f>
        <v>0</v>
      </c>
      <c r="E18" s="752">
        <f>C18-D18</f>
        <v>0</v>
      </c>
      <c r="F18" s="754"/>
    </row>
    <row r="19" spans="2:16" ht="16" thickBot="1">
      <c r="B19" s="751" t="s">
        <v>350</v>
      </c>
      <c r="C19" s="752">
        <f>'A3. Peel Region Grants'!C130</f>
        <v>0</v>
      </c>
      <c r="D19" s="753">
        <f>MIN('A3. Peel Region Grants'!D130,C19)</f>
        <v>0</v>
      </c>
      <c r="E19" s="752">
        <f>C19-D19</f>
        <v>0</v>
      </c>
      <c r="F19" s="754"/>
    </row>
    <row r="20" spans="2:16" ht="15.5">
      <c r="B20" s="736" t="s">
        <v>341</v>
      </c>
      <c r="C20" s="755"/>
      <c r="D20" s="756"/>
      <c r="E20" s="757"/>
      <c r="F20" s="740"/>
    </row>
    <row r="21" spans="2:16" ht="15.5">
      <c r="B21" s="741" t="s">
        <v>342</v>
      </c>
      <c r="C21" s="758">
        <f>'A3. Peel Region Grants'!C141</f>
        <v>0</v>
      </c>
      <c r="D21" s="758">
        <f>MIN('A3. Peel Region Grants'!D141,C21)</f>
        <v>0</v>
      </c>
      <c r="E21" s="758">
        <f>'A3. Peel Region Grants'!E141</f>
        <v>0</v>
      </c>
      <c r="F21" s="759">
        <f>'A3. Peel Region Grants'!F141</f>
        <v>0</v>
      </c>
    </row>
    <row r="22" spans="2:16" ht="15.5">
      <c r="B22" s="741" t="s">
        <v>343</v>
      </c>
      <c r="C22" s="760">
        <f>'A3. Peel Region Grants'!C68</f>
        <v>0</v>
      </c>
      <c r="D22" s="761">
        <f>MIN('A3. Peel Region Grants'!D82,C22)</f>
        <v>0</v>
      </c>
      <c r="E22" s="762">
        <f>IF(F22&gt;1,0,C22-D22)</f>
        <v>0</v>
      </c>
      <c r="F22" s="763">
        <f>'A3. Peel Region Grants'!D74</f>
        <v>0</v>
      </c>
      <c r="G22" s="728"/>
    </row>
    <row r="23" spans="2:16" ht="16" thickBot="1">
      <c r="B23" s="747" t="s">
        <v>487</v>
      </c>
      <c r="C23" s="748">
        <f>SUM(C21:C22)</f>
        <v>0</v>
      </c>
      <c r="D23" s="749">
        <f>SUM(D21:D22)</f>
        <v>0</v>
      </c>
      <c r="E23" s="750">
        <f>SUM(E21:E22)</f>
        <v>0</v>
      </c>
      <c r="F23" s="749">
        <f>SUM(F21:F22)</f>
        <v>0</v>
      </c>
    </row>
    <row r="24" spans="2:16" ht="15.5">
      <c r="B24" s="764" t="s">
        <v>218</v>
      </c>
      <c r="C24" s="765"/>
      <c r="D24" s="766"/>
      <c r="E24" s="767"/>
      <c r="F24" s="768"/>
      <c r="P24" s="769"/>
    </row>
    <row r="25" spans="2:16" ht="15.5">
      <c r="B25" s="773" t="s">
        <v>951</v>
      </c>
      <c r="C25" s="893"/>
      <c r="D25" s="894"/>
      <c r="E25" s="895"/>
      <c r="F25" s="894"/>
    </row>
    <row r="26" spans="2:16" ht="16" thickBot="1">
      <c r="B26" s="770" t="s">
        <v>344</v>
      </c>
      <c r="C26" s="771">
        <f>++C23+C16+C17+C18+C19+C25</f>
        <v>0</v>
      </c>
      <c r="D26" s="771">
        <f>++D23+D16+D17+D18+D19+D25</f>
        <v>0</v>
      </c>
      <c r="E26" s="771">
        <f>++E23+E16+E17+E18+E19+E25</f>
        <v>0</v>
      </c>
      <c r="F26" s="772">
        <f>F25+F23</f>
        <v>0</v>
      </c>
    </row>
    <row r="27" spans="2:16" ht="15.5">
      <c r="B27" s="14"/>
      <c r="C27" s="14"/>
      <c r="D27" s="14"/>
      <c r="E27" s="14"/>
      <c r="F27" s="14"/>
    </row>
    <row r="28" spans="2:16" ht="15.5">
      <c r="B28" s="14"/>
      <c r="C28" s="14"/>
      <c r="D28" s="14"/>
      <c r="E28" s="14"/>
      <c r="F28" s="14"/>
    </row>
    <row r="29" spans="2:16" ht="15.5">
      <c r="B29" s="14"/>
      <c r="C29" s="14"/>
      <c r="D29" s="14"/>
      <c r="E29" s="14"/>
      <c r="F29" s="14"/>
    </row>
    <row r="30" spans="2:16" ht="15.5">
      <c r="B30" s="14"/>
      <c r="C30" s="14"/>
      <c r="D30" s="14"/>
      <c r="E30" s="14"/>
      <c r="F30" s="14"/>
    </row>
    <row r="31" spans="2:16" ht="15.5">
      <c r="B31" s="14"/>
      <c r="C31" s="14"/>
      <c r="D31" s="14"/>
      <c r="E31" s="14"/>
      <c r="F31" s="14"/>
    </row>
    <row r="32" spans="2:16" ht="15.5">
      <c r="B32" s="14"/>
      <c r="C32" s="14"/>
      <c r="D32" s="14"/>
      <c r="E32" s="14"/>
      <c r="F32" s="14"/>
    </row>
    <row r="33" spans="2:6" ht="15.5">
      <c r="B33" s="14"/>
      <c r="C33" s="14"/>
      <c r="D33" s="14"/>
      <c r="E33" s="14"/>
      <c r="F33" s="14"/>
    </row>
    <row r="34" spans="2:6" ht="15.5">
      <c r="B34" s="14"/>
      <c r="C34" s="14"/>
      <c r="D34" s="14"/>
      <c r="E34" s="14"/>
      <c r="F34" s="14"/>
    </row>
    <row r="35" spans="2:6" ht="15.5">
      <c r="B35" s="14"/>
      <c r="C35" s="14"/>
      <c r="D35" s="14"/>
      <c r="E35" s="14"/>
      <c r="F35" s="14"/>
    </row>
    <row r="36" spans="2:6" ht="15.5">
      <c r="B36" s="14"/>
      <c r="C36" s="14"/>
      <c r="D36" s="14"/>
      <c r="E36" s="14"/>
      <c r="F36" s="14"/>
    </row>
    <row r="37" spans="2:6" ht="15.5">
      <c r="B37" s="14"/>
      <c r="C37" s="14"/>
      <c r="D37" s="14"/>
      <c r="E37" s="14"/>
      <c r="F37" s="14"/>
    </row>
    <row r="38" spans="2:6" ht="15.5">
      <c r="B38" s="14"/>
      <c r="C38" s="14"/>
      <c r="D38" s="14"/>
      <c r="E38" s="14"/>
      <c r="F38" s="14"/>
    </row>
    <row r="39" spans="2:6" ht="15.5">
      <c r="B39" s="14"/>
      <c r="C39" s="14"/>
      <c r="D39" s="14"/>
      <c r="E39" s="14"/>
      <c r="F39" s="14"/>
    </row>
    <row r="40" spans="2:6" ht="15.5">
      <c r="B40" s="14"/>
      <c r="C40" s="14"/>
      <c r="D40" s="14"/>
      <c r="E40" s="14"/>
      <c r="F40" s="14"/>
    </row>
    <row r="41" spans="2:6" ht="15.5">
      <c r="B41" s="14"/>
      <c r="C41" s="14"/>
      <c r="D41" s="14"/>
      <c r="E41" s="14"/>
      <c r="F41" s="14"/>
    </row>
    <row r="42" spans="2:6" ht="15.5">
      <c r="B42" s="14"/>
      <c r="C42" s="14"/>
      <c r="D42" s="14"/>
      <c r="E42" s="14"/>
      <c r="F42" s="14"/>
    </row>
    <row r="43" spans="2:6" ht="15.5">
      <c r="B43" s="14"/>
      <c r="C43" s="14"/>
      <c r="D43" s="14"/>
      <c r="E43" s="14"/>
      <c r="F43" s="14"/>
    </row>
    <row r="44" spans="2:6" ht="15.5">
      <c r="B44" s="14"/>
      <c r="C44" s="14"/>
      <c r="D44" s="14"/>
      <c r="E44" s="14"/>
      <c r="F44" s="14"/>
    </row>
    <row r="45" spans="2:6" ht="15.5">
      <c r="B45" s="14"/>
      <c r="C45" s="14"/>
      <c r="D45" s="14"/>
      <c r="E45" s="14"/>
      <c r="F45" s="14"/>
    </row>
  </sheetData>
  <sheetProtection algorithmName="SHA-512" hashValue="kjzZctc2CspEyQGoQPVW3nfh8cRmzSh5YK1qvJIc6HVqtwqLMqqQQ1PFFg+fqdgl1rBrvpHifowwz1TaE9yFrw==" saltValue="QmwTmZHthwboXAv35SefQA==" spinCount="100000" sheet="1" objects="1" scenarios="1"/>
  <mergeCells count="6">
    <mergeCell ref="B4:F4"/>
    <mergeCell ref="B6:F6"/>
    <mergeCell ref="B8:F9"/>
    <mergeCell ref="B5:F5"/>
    <mergeCell ref="B1:F1"/>
    <mergeCell ref="B2:F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OP Word" ma:contentTypeID="0x0101006450AF52053E4366878046AAF3AB30AB00F4DA677B379E004E95BE8618F936A982" ma:contentTypeVersion="30" ma:contentTypeDescription="Basis of all company Word documents." ma:contentTypeScope="" ma:versionID="5a4741a95af685b2ec19bf363ed3eb4d">
  <xsd:schema xmlns:xsd="http://www.w3.org/2001/XMLSchema" xmlns:xs="http://www.w3.org/2001/XMLSchema" xmlns:p="http://schemas.microsoft.com/office/2006/metadata/properties" xmlns:ns2="821ebe7e-5b53-4faa-abb9-4a80eed697b5" xmlns:ns3="165b19e7-bd48-44bc-ae9f-d38b7c2f2ede" targetNamespace="http://schemas.microsoft.com/office/2006/metadata/properties" ma:root="true" ma:fieldsID="12d83852e5eab7ca28e5e3e1a33a7fb4" ns2:_="" ns3:_="">
    <xsd:import namespace="821ebe7e-5b53-4faa-abb9-4a80eed697b5"/>
    <xsd:import namespace="165b19e7-bd48-44bc-ae9f-d38b7c2f2ede"/>
    <xsd:element name="properties">
      <xsd:complexType>
        <xsd:sequence>
          <xsd:element name="documentManagement">
            <xsd:complexType>
              <xsd:all>
                <xsd:element ref="ns2:_dlc_DocId" minOccurs="0"/>
                <xsd:element ref="ns2:_dlc_DocIdUrl" minOccurs="0"/>
                <xsd:element ref="ns2:_dlc_DocIdPersistId" minOccurs="0"/>
                <xsd:element ref="ns2:b84c496a5d0b4e848eae240e679f45e7" minOccurs="0"/>
                <xsd:element ref="ns2:TaxCatchAll" minOccurs="0"/>
                <xsd:element ref="ns2:TaxCatchAllLabel" minOccurs="0"/>
                <xsd:element ref="ns2:oaba50052a024fb29595ecca5fbbaa4e" minOccurs="0"/>
                <xsd:element ref="ns2:d4d6d7f2852d41a09afacf0336fedee9" minOccurs="0"/>
                <xsd:element ref="ns2:if2ef2b6bf4346d0a9a60e9784f95a0d" minOccurs="0"/>
                <xsd:element ref="ns2:i7c7954a6da6485baed72bf62adc9a98" minOccurs="0"/>
                <xsd:element ref="ns2:i09ce8ea77e04d5b937fa0a29b257c75" minOccurs="0"/>
                <xsd:element ref="ns2:SIZADate" minOccurs="0"/>
                <xsd:element ref="ns2:SIZASubject" minOccurs="0"/>
                <xsd:element ref="ns2:SIZAAuthor" minOccurs="0"/>
                <xsd:element ref="ns2:c816cc0c51d043a4907164997a81cf13" minOccurs="0"/>
                <xsd:element ref="ns2:leed0c44d2ac42d791805961a1e6b6e0" minOccurs="0"/>
                <xsd:element ref="ns2:SIZARecordsEventDate" minOccurs="0"/>
                <xsd:element ref="ns3:MediaServiceMetadata" minOccurs="0"/>
                <xsd:element ref="ns3:MediaServiceFastMetadata" minOccurs="0"/>
                <xsd:element ref="ns3:MediaServiceDateTaken" minOccurs="0"/>
                <xsd:element ref="ns3:MediaLengthInSeconds" minOccurs="0"/>
                <xsd:element ref="ns2:SharedWithUsers" minOccurs="0"/>
                <xsd:element ref="ns2:SharedWithDetails" minOccurs="0"/>
                <xsd:element ref="ns3:lcf76f155ced4ddcb4097134ff3c332f"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1ebe7e-5b53-4faa-abb9-4a80eed697b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b84c496a5d0b4e848eae240e679f45e7" ma:index="11" nillable="true" ma:taxonomy="true" ma:internalName="b84c496a5d0b4e848eae240e679f45e7" ma:taxonomyFieldName="SIZADepartment" ma:displayName="Department" ma:default="1;#Human Services|118fdf37-3eb0-4f3d-9794-08c6dc12769c" ma:fieldId="{b84c496a-5d0b-4e84-8eae-240e679f45e7}" ma:sspId="fa93b17b-eca5-4df2-9431-61ba77a6f1f7" ma:termSetId="60320ae7-a7b2-4969-932f-f2bb791727f2"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ca5e71e-6d80-4314-bc5c-b8377f95adfe}" ma:internalName="TaxCatchAll" ma:showField="CatchAllData"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ca5e71e-6d80-4314-bc5c-b8377f95adfe}" ma:internalName="TaxCatchAllLabel" ma:readOnly="true" ma:showField="CatchAllDataLabel"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oaba50052a024fb29595ecca5fbbaa4e" ma:index="15" nillable="true" ma:taxonomy="true" ma:internalName="oaba50052a024fb29595ecca5fbbaa4e" ma:taxonomyFieldName="SIZADivision" ma:displayName="Division" ma:default="2;#Early Years and Child Care Services|ce06aa10-9999-42e6-922f-4e4b46a41053" ma:fieldId="{8aba5005-2a02-4fb2-9595-ecca5fbbaa4e}" ma:sspId="fa93b17b-eca5-4df2-9431-61ba77a6f1f7" ma:termSetId="b837b880-3aa0-41f7-886b-2a1389d416d0" ma:anchorId="00000000-0000-0000-0000-000000000000" ma:open="false" ma:isKeyword="false">
      <xsd:complexType>
        <xsd:sequence>
          <xsd:element ref="pc:Terms" minOccurs="0" maxOccurs="1"/>
        </xsd:sequence>
      </xsd:complexType>
    </xsd:element>
    <xsd:element name="d4d6d7f2852d41a09afacf0336fedee9" ma:index="17" nillable="true" ma:taxonomy="true" ma:internalName="d4d6d7f2852d41a09afacf0336fedee9" ma:taxonomyFieldName="SIZASection" ma:displayName="Section" ma:default="3;#Communications|c6d9d51b-55c7-4d1b-a96f-1883fe1d44e4" ma:fieldId="{d4d6d7f2-852d-41a0-9afa-cf0336fedee9}" ma:sspId="fa93b17b-eca5-4df2-9431-61ba77a6f1f7" ma:termSetId="11c1e720-e982-466a-aacd-09d4c23fdbc0" ma:anchorId="00000000-0000-0000-0000-000000000000" ma:open="false" ma:isKeyword="false">
      <xsd:complexType>
        <xsd:sequence>
          <xsd:element ref="pc:Terms" minOccurs="0" maxOccurs="1"/>
        </xsd:sequence>
      </xsd:complexType>
    </xsd:element>
    <xsd:element name="if2ef2b6bf4346d0a9a60e9784f95a0d" ma:index="19" nillable="true" ma:taxonomy="true" ma:internalName="if2ef2b6bf4346d0a9a60e9784f95a0d" ma:taxonomyFieldName="SIZAService" ma:displayName="Service" ma:readOnly="false" ma:fieldId="{2f2ef2b6-bf43-46d0-a9a6-0e9784f95a0d}" ma:sspId="fa93b17b-eca5-4df2-9431-61ba77a6f1f7" ma:termSetId="b77d1e8a-5db7-483c-9b23-740035cc05a6" ma:anchorId="00000000-0000-0000-0000-000000000000" ma:open="false" ma:isKeyword="false">
      <xsd:complexType>
        <xsd:sequence>
          <xsd:element ref="pc:Terms" minOccurs="0" maxOccurs="1"/>
        </xsd:sequence>
      </xsd:complexType>
    </xsd:element>
    <xsd:element name="i7c7954a6da6485baed72bf62adc9a98" ma:index="21" nillable="true" ma:taxonomy="true" ma:internalName="i7c7954a6da6485baed72bf62adc9a98" ma:taxonomyFieldName="SIZADocumentType" ma:displayName="Document Type" ma:readOnly="false" ma:fieldId="{27c7954a-6da6-485b-aed7-2bf62adc9a98}" ma:sspId="fa93b17b-eca5-4df2-9431-61ba77a6f1f7" ma:termSetId="a30e0fc5-ef8a-411d-ac18-85e301421e76" ma:anchorId="00000000-0000-0000-0000-000000000000" ma:open="false" ma:isKeyword="false">
      <xsd:complexType>
        <xsd:sequence>
          <xsd:element ref="pc:Terms" minOccurs="0" maxOccurs="1"/>
        </xsd:sequence>
      </xsd:complexType>
    </xsd:element>
    <xsd:element name="i09ce8ea77e04d5b937fa0a29b257c75" ma:index="23" nillable="true" ma:taxonomy="true" ma:internalName="i09ce8ea77e04d5b937fa0a29b257c75" ma:taxonomyFieldName="SIZADocumentSubType" ma:displayName="Document SubType" ma:readOnly="false" ma:fieldId="{209ce8ea-77e0-4d5b-937f-a0a29b257c75}" ma:sspId="fa93b17b-eca5-4df2-9431-61ba77a6f1f7" ma:termSetId="9ba2e993-e3a4-40d4-af48-5ac0b9f0db0c" ma:anchorId="00000000-0000-0000-0000-000000000000" ma:open="false" ma:isKeyword="false">
      <xsd:complexType>
        <xsd:sequence>
          <xsd:element ref="pc:Terms" minOccurs="0" maxOccurs="1"/>
        </xsd:sequence>
      </xsd:complexType>
    </xsd:element>
    <xsd:element name="SIZADate" ma:index="25" nillable="true" ma:displayName="Date" ma:description="The date of the document." ma:internalName="SIZADate" ma:readOnly="false">
      <xsd:simpleType>
        <xsd:restriction base="dms:DateTime"/>
      </xsd:simpleType>
    </xsd:element>
    <xsd:element name="SIZASubject" ma:index="26" nillable="true" ma:displayName="Subject" ma:description="The subject of the document." ma:internalName="SIZASubject" ma:readOnly="false">
      <xsd:simpleType>
        <xsd:restriction base="dms:Text"/>
      </xsd:simpleType>
    </xsd:element>
    <xsd:element name="SIZAAuthor" ma:index="27" nillable="true" ma:displayName="Author" ma:description="The author of the document." ma:internalName="SIZA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816cc0c51d043a4907164997a81cf13" ma:index="28" nillable="true" ma:taxonomy="true" ma:internalName="c816cc0c51d043a4907164997a81cf13" ma:taxonomyFieldName="SIZAKeywords" ma:displayName="Additional Tags" ma:readOnly="false" ma:fieldId="{c816cc0c-51d0-43a4-9071-64997a81cf13}" ma:sspId="fa93b17b-eca5-4df2-9431-61ba77a6f1f7" ma:termSetId="c9229c1c-9cd4-4e27-a7aa-176e35bc250b" ma:anchorId="00000000-0000-0000-0000-000000000000" ma:open="false" ma:isKeyword="false">
      <xsd:complexType>
        <xsd:sequence>
          <xsd:element ref="pc:Terms" minOccurs="0" maxOccurs="1"/>
        </xsd:sequence>
      </xsd:complexType>
    </xsd:element>
    <xsd:element name="leed0c44d2ac42d791805961a1e6b6e0" ma:index="30" nillable="true" ma:taxonomy="true" ma:internalName="leed0c44d2ac42d791805961a1e6b6e0" ma:taxonomyFieldName="SIZARecordClassification" ma:displayName="Records Classification" ma:readOnly="false" ma:fieldId="{5eed0c44-d2ac-42d7-9180-5961a1e6b6e0}" ma:sspId="fa93b17b-eca5-4df2-9431-61ba77a6f1f7" ma:termSetId="4de2fedc-4bea-4300-87fb-a9dd50186fcb" ma:anchorId="00000000-0000-0000-0000-000000000000" ma:open="false" ma:isKeyword="false">
      <xsd:complexType>
        <xsd:sequence>
          <xsd:element ref="pc:Terms" minOccurs="0" maxOccurs="1"/>
        </xsd:sequence>
      </xsd:complexType>
    </xsd:element>
    <xsd:element name="SIZARecordsEventDate" ma:index="32" nillable="true" ma:displayName="Records Event Date" ma:description="Records Event Date" ma:internalName="SIZARecordsEventDate" ma:readOnly="false">
      <xsd:simpleType>
        <xsd:restriction base="dms:DateTime"/>
      </xsd:simpleType>
    </xsd:element>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5b19e7-bd48-44bc-ae9f-d38b7c2f2ede"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DateTaken" ma:index="35" nillable="true" ma:displayName="MediaServiceDateTaken" ma:hidden="true" ma:indexed="true" ma:internalName="MediaServiceDateTaken"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fa93b17b-eca5-4df2-9431-61ba77a6f1f7" ma:termSetId="09814cd3-568e-fe90-9814-8d621ff8fb84" ma:anchorId="fba54fb3-c3e1-fe81-a776-ca4b69148c4d" ma:open="true" ma:isKeyword="false">
      <xsd:complexType>
        <xsd:sequence>
          <xsd:element ref="pc:Terms" minOccurs="0" maxOccurs="1"/>
        </xsd:sequence>
      </xsd:complexType>
    </xsd:element>
    <xsd:element name="MediaServiceGenerationTime" ma:index="41" nillable="true" ma:displayName="MediaServiceGenerationTime" ma:hidden="true" ma:internalName="MediaServiceGenerationTime" ma:readOnly="true">
      <xsd:simpleType>
        <xsd:restriction base="dms:Text"/>
      </xsd:simpleType>
    </xsd:element>
    <xsd:element name="MediaServiceEventHashCode" ma:index="42" nillable="true" ma:displayName="MediaServiceEventHashCode" ma:hidden="true" ma:internalName="MediaServiceEventHashCode" ma:readOnly="true">
      <xsd:simpleType>
        <xsd:restriction base="dms:Text"/>
      </xsd:simpleType>
    </xsd:element>
    <xsd:element name="MediaServiceOCR" ma:index="43" nillable="true" ma:displayName="Extracted Text" ma:internalName="MediaServiceOCR" ma:readOnly="true">
      <xsd:simpleType>
        <xsd:restriction base="dms:Note">
          <xsd:maxLength value="255"/>
        </xsd:restriction>
      </xsd:simpleType>
    </xsd:element>
    <xsd:element name="MediaServiceLocation" ma:index="44" nillable="true" ma:displayName="Location" ma:indexed="true" ma:internalName="MediaServiceLocation" ma:readOnly="true">
      <xsd:simpleType>
        <xsd:restriction base="dms:Text"/>
      </xsd:simpleType>
    </xsd:element>
    <xsd:element name="MediaServiceObjectDetectorVersions" ma:index="45" nillable="true" ma:displayName="MediaServiceObjectDetectorVersions"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b84c496a5d0b4e848eae240e679f45e7 xmlns="821ebe7e-5b53-4faa-abb9-4a80eed697b5">
      <Terms xmlns="http://schemas.microsoft.com/office/infopath/2007/PartnerControls">
        <TermInfo xmlns="http://schemas.microsoft.com/office/infopath/2007/PartnerControls">
          <TermName xmlns="http://schemas.microsoft.com/office/infopath/2007/PartnerControls">Human Services</TermName>
          <TermId xmlns="http://schemas.microsoft.com/office/infopath/2007/PartnerControls">118fdf37-3eb0-4f3d-9794-08c6dc12769c</TermId>
        </TermInfo>
      </Terms>
    </b84c496a5d0b4e848eae240e679f45e7>
    <lcf76f155ced4ddcb4097134ff3c332f xmlns="165b19e7-bd48-44bc-ae9f-d38b7c2f2ede">
      <Terms xmlns="http://schemas.microsoft.com/office/infopath/2007/PartnerControls"/>
    </lcf76f155ced4ddcb4097134ff3c332f>
    <i7c7954a6da6485baed72bf62adc9a98 xmlns="821ebe7e-5b53-4faa-abb9-4a80eed697b5">
      <Terms xmlns="http://schemas.microsoft.com/office/infopath/2007/PartnerControls"/>
    </i7c7954a6da6485baed72bf62adc9a98>
    <i09ce8ea77e04d5b937fa0a29b257c75 xmlns="821ebe7e-5b53-4faa-abb9-4a80eed697b5">
      <Terms xmlns="http://schemas.microsoft.com/office/infopath/2007/PartnerControls"/>
    </i09ce8ea77e04d5b937fa0a29b257c75>
    <leed0c44d2ac42d791805961a1e6b6e0 xmlns="821ebe7e-5b53-4faa-abb9-4a80eed697b5">
      <Terms xmlns="http://schemas.microsoft.com/office/infopath/2007/PartnerControls"/>
    </leed0c44d2ac42d791805961a1e6b6e0>
    <oaba50052a024fb29595ecca5fbbaa4e xmlns="821ebe7e-5b53-4faa-abb9-4a80eed697b5">
      <Terms xmlns="http://schemas.microsoft.com/office/infopath/2007/PartnerControls">
        <TermInfo xmlns="http://schemas.microsoft.com/office/infopath/2007/PartnerControls">
          <TermName xmlns="http://schemas.microsoft.com/office/infopath/2007/PartnerControls">Early Years and Child Care Services</TermName>
          <TermId xmlns="http://schemas.microsoft.com/office/infopath/2007/PartnerControls">ce06aa10-9999-42e6-922f-4e4b46a41053</TermId>
        </TermInfo>
      </Terms>
    </oaba50052a024fb29595ecca5fbbaa4e>
    <if2ef2b6bf4346d0a9a60e9784f95a0d xmlns="821ebe7e-5b53-4faa-abb9-4a80eed697b5">
      <Terms xmlns="http://schemas.microsoft.com/office/infopath/2007/PartnerControls"/>
    </if2ef2b6bf4346d0a9a60e9784f95a0d>
    <SIZAAuthor xmlns="821ebe7e-5b53-4faa-abb9-4a80eed697b5">
      <UserInfo>
        <DisplayName/>
        <AccountId xsi:nil="true"/>
        <AccountType/>
      </UserInfo>
    </SIZAAuthor>
    <SIZADate xmlns="821ebe7e-5b53-4faa-abb9-4a80eed697b5" xsi:nil="true"/>
    <c816cc0c51d043a4907164997a81cf13 xmlns="821ebe7e-5b53-4faa-abb9-4a80eed697b5">
      <Terms xmlns="http://schemas.microsoft.com/office/infopath/2007/PartnerControls"/>
    </c816cc0c51d043a4907164997a81cf13>
    <SIZARecordsEventDate xmlns="821ebe7e-5b53-4faa-abb9-4a80eed697b5" xsi:nil="true"/>
    <d4d6d7f2852d41a09afacf0336fedee9 xmlns="821ebe7e-5b53-4faa-abb9-4a80eed697b5">
      <Terms xmlns="http://schemas.microsoft.com/office/infopath/2007/PartnerControls">
        <TermInfo xmlns="http://schemas.microsoft.com/office/infopath/2007/PartnerControls">
          <TermName xmlns="http://schemas.microsoft.com/office/infopath/2007/PartnerControls">Funding and Program Administration</TermName>
          <TermId xmlns="http://schemas.microsoft.com/office/infopath/2007/PartnerControls">bc19dac2-fc19-4cc5-8059-845f9493924a</TermId>
        </TermInfo>
      </Terms>
    </d4d6d7f2852d41a09afacf0336fedee9>
    <SIZASubject xmlns="821ebe7e-5b53-4faa-abb9-4a80eed697b5" xsi:nil="true"/>
    <TaxCatchAll xmlns="821ebe7e-5b53-4faa-abb9-4a80eed697b5">
      <Value>408</Value>
      <Value>2</Value>
      <Value>1</Value>
    </TaxCatchAll>
    <_dlc_DocId xmlns="821ebe7e-5b53-4faa-abb9-4a80eed697b5">RZVXNEC2MVYU-131264259-7477</_dlc_DocId>
    <_dlc_DocIdUrl xmlns="821ebe7e-5b53-4faa-abb9-4a80eed697b5">
      <Url>https://peelregionca.sharepoint.com/teams/S344/_layouts/15/DocIdRedir.aspx?ID=RZVXNEC2MVYU-131264259-7477</Url>
      <Description>RZVXNEC2MVYU-131264259-7477</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9BE81F3-CC40-4DE2-B726-C94EE9A9A550}">
  <ds:schemaRefs>
    <ds:schemaRef ds:uri="http://schemas.microsoft.com/sharepoint/v3/contenttype/forms"/>
  </ds:schemaRefs>
</ds:datastoreItem>
</file>

<file path=customXml/itemProps2.xml><?xml version="1.0" encoding="utf-8"?>
<ds:datastoreItem xmlns:ds="http://schemas.openxmlformats.org/officeDocument/2006/customXml" ds:itemID="{6DBA7C18-3027-412F-AADF-9EDADA6ED8FD}"/>
</file>

<file path=customXml/itemProps3.xml><?xml version="1.0" encoding="utf-8"?>
<ds:datastoreItem xmlns:ds="http://schemas.openxmlformats.org/officeDocument/2006/customXml" ds:itemID="{269666AC-06A2-4BDC-BF89-0EE09CADD0BF}">
  <ds:schemaRefs>
    <ds:schemaRef ds:uri="644cac2e-9ecb-4691-badc-8c3cd87f9453"/>
    <ds:schemaRef ds:uri="http://www.w3.org/XML/1998/namespace"/>
    <ds:schemaRef ds:uri="http://schemas.microsoft.com/office/2006/documentManagement/types"/>
    <ds:schemaRef ds:uri="http://purl.org/dc/dcmitype/"/>
    <ds:schemaRef ds:uri="http://purl.org/dc/elements/1.1/"/>
    <ds:schemaRef ds:uri="http://schemas.openxmlformats.org/package/2006/metadata/core-properties"/>
    <ds:schemaRef ds:uri="http://schemas.microsoft.com/office/infopath/2007/PartnerControls"/>
    <ds:schemaRef ds:uri="9a8a9177-1f34-46f8-b9c2-631211c96abd"/>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C3E8AD57-173D-41C6-9446-94E19DC15942}"/>
</file>

<file path=docMetadata/LabelInfo.xml><?xml version="1.0" encoding="utf-8"?>
<clbl:labelList xmlns:clbl="http://schemas.microsoft.com/office/2020/mipLabelMetadata">
  <clbl:label id="{356f99f3-9d86-47a1-8203-3b41b1cb0c68}" enabled="0" method="" siteId="{356f99f3-9d86-47a1-8203-3b41b1cb0c6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9</vt:i4>
      </vt:variant>
    </vt:vector>
  </HeadingPairs>
  <TitlesOfParts>
    <vt:vector size="23" baseType="lpstr">
      <vt:lpstr>A1. Identification</vt:lpstr>
      <vt:lpstr>A2.Allocation &amp; Operating Plan</vt:lpstr>
      <vt:lpstr>A3. Peel Region Grants</vt:lpstr>
      <vt:lpstr>4. KPIs</vt:lpstr>
      <vt:lpstr>A5. Financial Position</vt:lpstr>
      <vt:lpstr>A6. Operations</vt:lpstr>
      <vt:lpstr>A7. 2025 CWELCC &amp; OTEF Recon</vt:lpstr>
      <vt:lpstr>A8. GovGrants input</vt:lpstr>
      <vt:lpstr>A9. SummaryOfReconciliations </vt:lpstr>
      <vt:lpstr>A10. Definition Code </vt:lpstr>
      <vt:lpstr>A11.Licensee's SFR&amp; Attestation</vt:lpstr>
      <vt:lpstr>A12. YND Reconciliation</vt:lpstr>
      <vt:lpstr>Hide -Financial Health Score</vt:lpstr>
      <vt:lpstr>Hide- CSV file</vt:lpstr>
      <vt:lpstr>ActualProgramCosts</vt:lpstr>
      <vt:lpstr>BenchmarkAllocation</vt:lpstr>
      <vt:lpstr>'A1. Identification'!Print_Area</vt:lpstr>
      <vt:lpstr>'A2.Allocation &amp; Operating Plan'!Print_Area</vt:lpstr>
      <vt:lpstr>'A5. Financial Position'!Print_Area</vt:lpstr>
      <vt:lpstr>'A6. Operations'!Print_Area</vt:lpstr>
      <vt:lpstr>'A7. 2025 CWELCC &amp; OTEF Recon'!Print_Area</vt:lpstr>
      <vt:lpstr>'Hide -Financial Health Score'!Print_Area</vt:lpstr>
      <vt:lpstr>ProgramCostsAllocation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Dalugdog, Leslie</dc:creator>
  <cp:keywords/>
  <dc:description/>
  <cp:lastModifiedBy>Dealwis, Tina</cp:lastModifiedBy>
  <cp:revision/>
  <cp:lastPrinted>2025-11-12T16:20:37Z</cp:lastPrinted>
  <dcterms:created xsi:type="dcterms:W3CDTF">2024-10-04T16:03:10Z</dcterms:created>
  <dcterms:modified xsi:type="dcterms:W3CDTF">2026-04-02T20:34:44Z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0x0101006450AF52053E4366878046AAF3AB30AB00F4DA677B379E004E95BE8618F936A982</vt:lpwstr>
  </property>
  <property fmtid="{D5CDD505-2E9C-101B-9397-08002B2CF9AE}" pid="3" name="SIZADocumentType">
    <vt:lpwstr/>
  </property>
  <property fmtid="{D5CDD505-2E9C-101B-9397-08002B2CF9AE}" pid="4" name="SIZAService">
    <vt:lpwstr/>
  </property>
  <property fmtid="{D5CDD505-2E9C-101B-9397-08002B2CF9AE}" pid="5" name="SIZADivision">
    <vt:lpwstr>2;#Early Years and Child Care Services|ce06aa10-9999-42e6-922f-4e4b46a41053</vt:lpwstr>
  </property>
  <property fmtid="{D5CDD505-2E9C-101B-9397-08002B2CF9AE}" pid="6" name="MediaServiceImageTags">
    <vt:lpwstr/>
  </property>
  <property fmtid="{D5CDD505-2E9C-101B-9397-08002B2CF9AE}" pid="7" name="SIZASection">
    <vt:lpwstr>408;#Funding and Program Administration|bc19dac2-fc19-4cc5-8059-845f9493924a</vt:lpwstr>
  </property>
  <property fmtid="{D5CDD505-2E9C-101B-9397-08002B2CF9AE}" pid="8" name="SIZADepartment">
    <vt:lpwstr>1;#Human Services|118fdf37-3eb0-4f3d-9794-08c6dc12769c</vt:lpwstr>
  </property>
  <property fmtid="{D5CDD505-2E9C-101B-9397-08002B2CF9AE}" pid="9" name="SIZADocumentSubType">
    <vt:lpwstr/>
  </property>
  <property fmtid="{D5CDD505-2E9C-101B-9397-08002B2CF9AE}" pid="10" name="SIZARecordClassification">
    <vt:lpwstr/>
  </property>
  <property fmtid="{D5CDD505-2E9C-101B-9397-08002B2CF9AE}" pid="11" name="SIZAKeywords">
    <vt:lpwstr/>
  </property>
  <property fmtid="{D5CDD505-2E9C-101B-9397-08002B2CF9AE}" pid="12" name="_dlc_DocIdItemGuid">
    <vt:lpwstr>3371c3d4-63d7-4743-af7e-6d908366f9cc</vt:lpwstr>
  </property>
</Properties>
</file>