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comments4.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comments7.xml" ContentType="application/vnd.openxmlformats-officedocument.spreadsheetml.comments+xml"/>
  <Override PartName="/xl/tables/table6.xml" ContentType="application/vnd.openxmlformats-officedocument.spreadsheetml.table+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5.xml" ContentType="application/vnd.openxmlformats-officedocument.spreadsheetml.comment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peelregionca.sharepoint.com/teams/S344/Shared Documents/Website updates/2026/March 2026/FAIR guidelines/"/>
    </mc:Choice>
  </mc:AlternateContent>
  <xr:revisionPtr revIDLastSave="0" documentId="8_{DA7A70B6-DB7F-4E6C-90D9-F471B208F13E}" xr6:coauthVersionLast="47" xr6:coauthVersionMax="47" xr10:uidLastSave="{00000000-0000-0000-0000-000000000000}"/>
  <workbookProtection workbookAlgorithmName="SHA-512" workbookHashValue="qLS3jvNK712F7CAQgSHM7lWFZavkjbGUMVP/rMrIMkhKewmYp33hub6MDiNC6gxiHa4eS3klO4gUgkNg1WG+BQ==" workbookSaltValue="UtmoFwgSylStOLnIS1/FSw==" workbookSpinCount="100000" lockStructure="1"/>
  <bookViews>
    <workbookView xWindow="20" yWindow="20" windowWidth="19180" windowHeight="10060" tabRatio="933" xr2:uid="{D5174172-C61A-477B-8A48-138A21D2B1E5}"/>
  </bookViews>
  <sheets>
    <sheet name="A1. Identification" sheetId="16" r:id="rId1"/>
    <sheet name="A2.Allocation &amp; Operating Plan" sheetId="6" r:id="rId2"/>
    <sheet name="A3. Peel Region Grants" sheetId="34" r:id="rId3"/>
    <sheet name="A4. KPIs" sheetId="56" r:id="rId4"/>
    <sheet name="A5. Financial Position" sheetId="17" r:id="rId5"/>
    <sheet name="A6a. Operations-Site 1" sheetId="40" r:id="rId6"/>
    <sheet name="A11.SFR&amp; Attestation Site 1" sheetId="45" state="hidden" r:id="rId7"/>
    <sheet name="A12. YND Reconciliation Site 1" sheetId="37" state="hidden" r:id="rId8"/>
    <sheet name="A6b. Operations-Site 2" sheetId="41" r:id="rId9"/>
    <sheet name="A11.SFR&amp; Attestation Site 2" sheetId="46" state="hidden" r:id="rId10"/>
    <sheet name="A12. YND Reconciliation Site 2" sheetId="50" state="hidden" r:id="rId11"/>
    <sheet name="A6c. Operations-Site 3" sheetId="42" r:id="rId12"/>
    <sheet name="A11.SFR&amp; Attestation Site 3" sheetId="47" state="hidden" r:id="rId13"/>
    <sheet name="A12. YND Reconciliation Site 3" sheetId="51" state="hidden" r:id="rId14"/>
    <sheet name="A6d. Operations-Site 4" sheetId="43" r:id="rId15"/>
    <sheet name="A11.SFR&amp; Attestation Site 4" sheetId="48" state="hidden" r:id="rId16"/>
    <sheet name="A12. YND Reconciliation Site 4" sheetId="52" state="hidden" r:id="rId17"/>
    <sheet name="A6e. Operations-Site 5" sheetId="44" r:id="rId18"/>
    <sheet name="A11.SFR&amp; Attestation Site 5" sheetId="49" state="hidden" r:id="rId19"/>
    <sheet name="A12. YND Reconciliation Site 5" sheetId="53" state="hidden" r:id="rId20"/>
    <sheet name="A6. Operations_Consolidated" sheetId="18" r:id="rId21"/>
    <sheet name="A7. 2025 CWELCC &amp; OTEF Recon" sheetId="35" r:id="rId22"/>
    <sheet name="A8. GovGrants input" sheetId="25" r:id="rId23"/>
    <sheet name="A9. SummaryOfReconciliations " sheetId="19" r:id="rId24"/>
    <sheet name="A10. Definition Code" sheetId="5" r:id="rId25"/>
    <sheet name="A11.Licensee's SFR&amp; Attestation" sheetId="36" r:id="rId26"/>
    <sheet name="A12. YND Reconciliation" sheetId="54" r:id="rId27"/>
    <sheet name="Hide- CSV file" sheetId="38" state="hidden" r:id="rId28"/>
    <sheet name="Hide- CSV file - Consolidated" sheetId="58" state="hidden" r:id="rId29"/>
    <sheet name="Hide -Financial Health Score" sheetId="29" state="hidden" r:id="rId30"/>
  </sheets>
  <definedNames>
    <definedName name="_xlnm._FilterDatabase" localSheetId="24" hidden="1">'A10. Definition Code'!#REF!</definedName>
    <definedName name="ActualProgramCosts" localSheetId="26">'A12. YND Reconciliation'!$E$33</definedName>
    <definedName name="ActualProgramCosts" localSheetId="10">'A12. YND Reconciliation Site 2'!$E$33</definedName>
    <definedName name="ActualProgramCosts" localSheetId="13">'A12. YND Reconciliation Site 3'!$E$33</definedName>
    <definedName name="ActualProgramCosts" localSheetId="16">'A12. YND Reconciliation Site 4'!$E$33</definedName>
    <definedName name="ActualProgramCosts" localSheetId="19">'A12. YND Reconciliation Site 5'!$E$33</definedName>
    <definedName name="ActualProgramCosts" localSheetId="3">#REF!</definedName>
    <definedName name="ActualProgramCosts">'A12. YND Reconciliation Site 1'!$E$33</definedName>
    <definedName name="BenchmarkAllocation" localSheetId="26">'A12. YND Reconciliation'!$E$20</definedName>
    <definedName name="BenchmarkAllocation" localSheetId="10">'A12. YND Reconciliation Site 2'!$E$20</definedName>
    <definedName name="BenchmarkAllocation" localSheetId="13">'A12. YND Reconciliation Site 3'!$E$20</definedName>
    <definedName name="BenchmarkAllocation" localSheetId="16">'A12. YND Reconciliation Site 4'!$E$20</definedName>
    <definedName name="BenchmarkAllocation" localSheetId="19">'A12. YND Reconciliation Site 5'!$E$20</definedName>
    <definedName name="BenchmarkAllocation" localSheetId="3">#REF!</definedName>
    <definedName name="BenchmarkAllocation">'A12. YND Reconciliation Site 1'!$E$20</definedName>
    <definedName name="CorpName">#REF!</definedName>
    <definedName name="CostAdjustments" localSheetId="22">#REF!</definedName>
    <definedName name="CostAdjustments">#REF!</definedName>
    <definedName name="CostAdjustmentsex" localSheetId="22">#REF!</definedName>
    <definedName name="CostAdjustmentsex">#REF!</definedName>
    <definedName name="Dec_31__2024">#REF!</definedName>
    <definedName name="EnrollmentDate">#REF!</definedName>
    <definedName name="LookupColumn">#REF!</definedName>
    <definedName name="_xlnm.Print_Area" localSheetId="0">'A1. Identification'!$A$1:$D$36</definedName>
    <definedName name="_xlnm.Print_Area" localSheetId="1">'A2.Allocation &amp; Operating Plan'!$B$1:$E$30</definedName>
    <definedName name="_xlnm.Print_Area" localSheetId="4">'A5. Financial Position'!$B$1:$G$58</definedName>
    <definedName name="_xlnm.Print_Area" localSheetId="20">'A6. Operations_Consolidated'!$B$2:$H$130</definedName>
    <definedName name="_xlnm.Print_Area" localSheetId="5">'A6a. Operations-Site 1'!$B$1:$H$129</definedName>
    <definedName name="_xlnm.Print_Area" localSheetId="8">'A6b. Operations-Site 2'!$B$1:$H$129</definedName>
    <definedName name="_xlnm.Print_Area" localSheetId="11">'A6c. Operations-Site 3'!$B$1:$H$129</definedName>
    <definedName name="_xlnm.Print_Area" localSheetId="14">'A6d. Operations-Site 4'!$B$1:$H$129</definedName>
    <definedName name="_xlnm.Print_Area" localSheetId="17">'A6e. Operations-Site 5'!$B$1:$H$129</definedName>
    <definedName name="_xlnm.Print_Area" localSheetId="21">'A7. 2025 CWELCC &amp; OTEF Recon'!$B$1:$D$41</definedName>
    <definedName name="_xlnm.Print_Area" localSheetId="29">'Hide -Financial Health Score'!$A$1:$Q$19</definedName>
    <definedName name="ProgramCostsAllocation" localSheetId="26">'A12. YND Reconciliation'!$E$23</definedName>
    <definedName name="ProgramCostsAllocation" localSheetId="10">'A12. YND Reconciliation Site 2'!$E$23</definedName>
    <definedName name="ProgramCostsAllocation" localSheetId="13">'A12. YND Reconciliation Site 3'!$E$23</definedName>
    <definedName name="ProgramCostsAllocation" localSheetId="16">'A12. YND Reconciliation Site 4'!$E$23</definedName>
    <definedName name="ProgramCostsAllocation" localSheetId="19">'A12. YND Reconciliation Site 5'!$E$23</definedName>
    <definedName name="ProgramCostsAllocation" localSheetId="3">#REF!</definedName>
    <definedName name="ProgramCostsAllocation">'A12. YND Reconciliation Site 1'!$E$23</definedName>
    <definedName name="ResultColumn">#REF!</definedName>
    <definedName name="SimonLegacyData">#REF!</definedName>
    <definedName name="SSMs">#REF!</definedName>
    <definedName name="SumEligibleCosts">#REF!</definedName>
    <definedName name="VersionDate">#REF!</definedName>
    <definedName name="YearEn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3" i="34" l="1"/>
  <c r="E103" i="34"/>
  <c r="F103" i="34"/>
  <c r="G103" i="34"/>
  <c r="H103" i="34"/>
  <c r="H62" i="34"/>
  <c r="G62" i="34"/>
  <c r="F62" i="34"/>
  <c r="E62" i="34"/>
  <c r="D62" i="34"/>
  <c r="E20" i="51"/>
  <c r="J14" i="6"/>
  <c r="J15" i="6"/>
  <c r="J16" i="6"/>
  <c r="J17" i="6"/>
  <c r="J18" i="6"/>
  <c r="J19" i="6"/>
  <c r="J13" i="6"/>
  <c r="D111" i="44"/>
  <c r="D25" i="44"/>
  <c r="D111" i="43"/>
  <c r="D25" i="43"/>
  <c r="D25" i="42"/>
  <c r="D111" i="42"/>
  <c r="D111" i="41"/>
  <c r="D25" i="41"/>
  <c r="D111" i="40"/>
  <c r="D25" i="40"/>
  <c r="H2" i="56"/>
  <c r="J23" i="6" a="1"/>
  <c r="J23" i="6" s="1"/>
  <c r="J21" i="6" a="1"/>
  <c r="J21" i="6" s="1"/>
  <c r="E94" i="42"/>
  <c r="E108" i="44"/>
  <c r="E107" i="44"/>
  <c r="E106" i="44"/>
  <c r="E105" i="44"/>
  <c r="E101" i="44"/>
  <c r="E100" i="44"/>
  <c r="E99" i="44"/>
  <c r="E98" i="44"/>
  <c r="E97" i="44"/>
  <c r="E96" i="44"/>
  <c r="E95" i="44"/>
  <c r="E94" i="44"/>
  <c r="E93" i="44"/>
  <c r="E92" i="44"/>
  <c r="E91" i="44"/>
  <c r="E90" i="44"/>
  <c r="E89" i="44"/>
  <c r="E88" i="44"/>
  <c r="E87" i="44"/>
  <c r="E86" i="44"/>
  <c r="E85" i="44"/>
  <c r="E84" i="44"/>
  <c r="E83" i="44"/>
  <c r="E82" i="44"/>
  <c r="E81" i="44"/>
  <c r="E78" i="44"/>
  <c r="E77" i="44"/>
  <c r="E74" i="44"/>
  <c r="E73" i="44"/>
  <c r="E72" i="44"/>
  <c r="E108" i="43"/>
  <c r="E107" i="43"/>
  <c r="E106" i="43"/>
  <c r="E105" i="43"/>
  <c r="E101" i="43"/>
  <c r="E100" i="43"/>
  <c r="E99" i="43"/>
  <c r="E98" i="43"/>
  <c r="E97" i="43"/>
  <c r="E96" i="43"/>
  <c r="E95" i="43"/>
  <c r="E94" i="43"/>
  <c r="E93" i="43"/>
  <c r="E92" i="43"/>
  <c r="E91" i="43"/>
  <c r="E90" i="43"/>
  <c r="E89" i="43"/>
  <c r="E88" i="43"/>
  <c r="E87" i="43"/>
  <c r="E86" i="43"/>
  <c r="E85" i="43"/>
  <c r="E84" i="43"/>
  <c r="E83" i="43"/>
  <c r="E82" i="43"/>
  <c r="E81" i="43"/>
  <c r="E78" i="43"/>
  <c r="E77" i="43"/>
  <c r="E74" i="43"/>
  <c r="E73" i="43"/>
  <c r="E72" i="43"/>
  <c r="E108" i="42"/>
  <c r="E107" i="42"/>
  <c r="E106" i="42"/>
  <c r="E105" i="42"/>
  <c r="E101" i="42"/>
  <c r="E100" i="42"/>
  <c r="E99" i="42"/>
  <c r="E98" i="42"/>
  <c r="E97" i="42"/>
  <c r="E96" i="42"/>
  <c r="E95" i="42"/>
  <c r="E93" i="42"/>
  <c r="E92" i="42"/>
  <c r="E91" i="42"/>
  <c r="E90" i="42"/>
  <c r="E89" i="42"/>
  <c r="E88" i="42"/>
  <c r="E87" i="42"/>
  <c r="E86" i="42"/>
  <c r="E85" i="42"/>
  <c r="E84" i="42"/>
  <c r="E83" i="42"/>
  <c r="E82" i="42"/>
  <c r="E81" i="42"/>
  <c r="E78" i="42"/>
  <c r="E77" i="42"/>
  <c r="E74" i="42"/>
  <c r="E73" i="42"/>
  <c r="E72" i="42"/>
  <c r="E108" i="41"/>
  <c r="E107" i="41"/>
  <c r="E106" i="41"/>
  <c r="E105" i="41"/>
  <c r="E101" i="41"/>
  <c r="E100" i="41"/>
  <c r="E99" i="41"/>
  <c r="E98" i="41"/>
  <c r="E97" i="41"/>
  <c r="E96" i="41"/>
  <c r="E95" i="41"/>
  <c r="E94" i="41"/>
  <c r="E93" i="41"/>
  <c r="E92" i="41"/>
  <c r="E91" i="41"/>
  <c r="E90" i="41"/>
  <c r="E89" i="41"/>
  <c r="E88" i="41"/>
  <c r="E87" i="41"/>
  <c r="E86" i="41"/>
  <c r="E85" i="41"/>
  <c r="E84" i="41"/>
  <c r="E83" i="41"/>
  <c r="E82" i="41"/>
  <c r="E81" i="41"/>
  <c r="E78" i="41"/>
  <c r="E77" i="41"/>
  <c r="E74" i="41"/>
  <c r="E73" i="41"/>
  <c r="E72" i="41"/>
  <c r="J20" i="6" l="1"/>
  <c r="J22" i="6" s="1"/>
  <c r="J24" i="6" s="1"/>
  <c r="E25" i="51"/>
  <c r="E24" i="51"/>
  <c r="E22" i="51"/>
  <c r="E21" i="51"/>
  <c r="E25" i="54" l="1"/>
  <c r="E24" i="54"/>
  <c r="E22" i="54"/>
  <c r="E21" i="54"/>
  <c r="E20" i="54"/>
  <c r="C14" i="19"/>
  <c r="C30" i="25"/>
  <c r="C19" i="25"/>
  <c r="C18" i="25"/>
  <c r="C17" i="25"/>
  <c r="C16" i="25"/>
  <c r="C15" i="25"/>
  <c r="C14" i="25"/>
  <c r="C13" i="25"/>
  <c r="C12" i="25"/>
  <c r="C72" i="35"/>
  <c r="C68" i="35"/>
  <c r="D10" i="35"/>
  <c r="E25" i="53"/>
  <c r="E24" i="53"/>
  <c r="E22" i="53"/>
  <c r="E21" i="53"/>
  <c r="E20" i="53"/>
  <c r="C195" i="44"/>
  <c r="C191" i="44"/>
  <c r="E181" i="43"/>
  <c r="D133" i="44"/>
  <c r="F8" i="44"/>
  <c r="F7" i="44"/>
  <c r="E25" i="52"/>
  <c r="E24" i="52"/>
  <c r="E22" i="52"/>
  <c r="E21" i="52"/>
  <c r="E20" i="52"/>
  <c r="C195" i="43"/>
  <c r="C191" i="43"/>
  <c r="D133" i="43"/>
  <c r="F8" i="43"/>
  <c r="F7" i="43"/>
  <c r="C195" i="42"/>
  <c r="C191" i="42"/>
  <c r="D133" i="42"/>
  <c r="F8" i="42"/>
  <c r="F7" i="42"/>
  <c r="E25" i="50"/>
  <c r="E24" i="50"/>
  <c r="E22" i="50"/>
  <c r="E21" i="50"/>
  <c r="E20" i="50"/>
  <c r="C195" i="41"/>
  <c r="C191" i="41"/>
  <c r="D133" i="41"/>
  <c r="F8" i="41"/>
  <c r="F7" i="41"/>
  <c r="G8" i="56" l="1"/>
  <c r="H8" i="56"/>
  <c r="I8" i="56"/>
  <c r="F8" i="56"/>
  <c r="G7" i="56"/>
  <c r="H7" i="56"/>
  <c r="I7" i="56"/>
  <c r="F7" i="56"/>
  <c r="E8" i="56"/>
  <c r="E7" i="56"/>
  <c r="D99" i="34"/>
  <c r="F74" i="34"/>
  <c r="G74" i="34"/>
  <c r="H74" i="34"/>
  <c r="E74" i="34"/>
  <c r="D74" i="34"/>
  <c r="F64" i="34"/>
  <c r="G64" i="34"/>
  <c r="H64" i="34"/>
  <c r="E64" i="34"/>
  <c r="D64" i="34"/>
  <c r="F58" i="34"/>
  <c r="G58" i="34"/>
  <c r="H58" i="34"/>
  <c r="E58" i="34"/>
  <c r="D58" i="34"/>
  <c r="F57" i="34"/>
  <c r="G57" i="34"/>
  <c r="H57" i="34"/>
  <c r="D57" i="34"/>
  <c r="E57" i="34"/>
  <c r="C125" i="6"/>
  <c r="C124" i="6"/>
  <c r="C103" i="6"/>
  <c r="C102" i="6"/>
  <c r="C81" i="6"/>
  <c r="C80" i="6"/>
  <c r="C59" i="6"/>
  <c r="C58" i="6"/>
  <c r="C37" i="6"/>
  <c r="C36" i="6"/>
  <c r="I20" i="6"/>
  <c r="H20" i="6"/>
  <c r="G20" i="6"/>
  <c r="F20" i="6"/>
  <c r="I60" i="56" l="1"/>
  <c r="I51" i="56"/>
  <c r="I31" i="56"/>
  <c r="I39" i="56"/>
  <c r="H60" i="56"/>
  <c r="H51" i="56"/>
  <c r="H39" i="56"/>
  <c r="H31" i="56"/>
  <c r="G39" i="56"/>
  <c r="G31" i="56"/>
  <c r="G60" i="56"/>
  <c r="G51" i="56"/>
  <c r="F39" i="56"/>
  <c r="F31" i="56"/>
  <c r="F51" i="56"/>
  <c r="F60" i="56"/>
  <c r="E60" i="56"/>
  <c r="E51" i="56"/>
  <c r="E31" i="56"/>
  <c r="E39" i="56"/>
  <c r="G22" i="6"/>
  <c r="G24" i="6" s="1"/>
  <c r="D161" i="42"/>
  <c r="D132" i="42"/>
  <c r="F22" i="6"/>
  <c r="F24" i="6" s="1"/>
  <c r="D161" i="41"/>
  <c r="D132" i="41"/>
  <c r="I22" i="6"/>
  <c r="I24" i="6" s="1"/>
  <c r="D161" i="44"/>
  <c r="D132" i="44"/>
  <c r="H22" i="6"/>
  <c r="H24" i="6" s="1"/>
  <c r="E15" i="52" s="1"/>
  <c r="D132" i="43"/>
  <c r="D161" i="43"/>
  <c r="F56" i="49"/>
  <c r="F56" i="48"/>
  <c r="F56" i="47"/>
  <c r="F56" i="46"/>
  <c r="F56" i="45"/>
  <c r="E181" i="42" l="1"/>
  <c r="E15" i="51"/>
  <c r="E15" i="50"/>
  <c r="E181" i="41"/>
  <c r="E181" i="44"/>
  <c r="E15" i="53"/>
  <c r="BT2" i="58" l="1"/>
  <c r="BT2" i="38"/>
  <c r="F44" i="45" l="1"/>
  <c r="AE2" i="58" s="1"/>
  <c r="F40" i="45"/>
  <c r="AA2" i="58" s="1"/>
  <c r="F32" i="45"/>
  <c r="Y2" i="58" s="1"/>
  <c r="A9" i="58"/>
  <c r="BT9" i="58"/>
  <c r="BS9" i="58"/>
  <c r="AY9" i="58"/>
  <c r="F9" i="58"/>
  <c r="BS6" i="58"/>
  <c r="AY6" i="58"/>
  <c r="F6" i="58"/>
  <c r="A6" i="58"/>
  <c r="BS5" i="58"/>
  <c r="AY5" i="58"/>
  <c r="F5" i="58"/>
  <c r="A5" i="58"/>
  <c r="BS4" i="58"/>
  <c r="AY4" i="58"/>
  <c r="F4" i="58"/>
  <c r="A4" i="58"/>
  <c r="BS3" i="58"/>
  <c r="AY3" i="58"/>
  <c r="F3" i="58"/>
  <c r="A3" i="58"/>
  <c r="BS2" i="58"/>
  <c r="AY2" i="58"/>
  <c r="F2" i="58"/>
  <c r="A2" i="58"/>
  <c r="D118" i="44" l="1"/>
  <c r="F10" i="40"/>
  <c r="AM2" i="58" l="1"/>
  <c r="F33" i="45" l="1"/>
  <c r="Z2" i="58" s="1"/>
  <c r="F33" i="46"/>
  <c r="Z3" i="58" s="1"/>
  <c r="F33" i="47"/>
  <c r="Z4" i="58" s="1"/>
  <c r="F33" i="48"/>
  <c r="Z5" i="58" s="1"/>
  <c r="F33" i="49"/>
  <c r="Z6" i="58" s="1"/>
  <c r="AM6" i="58"/>
  <c r="AM5" i="58"/>
  <c r="AM4" i="58"/>
  <c r="AM3" i="58"/>
  <c r="AM2" i="38"/>
  <c r="C117" i="34"/>
  <c r="I119" i="34" s="1"/>
  <c r="C108" i="34"/>
  <c r="BE6" i="58"/>
  <c r="E14" i="56" l="1"/>
  <c r="E21" i="56" s="1"/>
  <c r="E28" i="56" s="1"/>
  <c r="E36" i="56" s="1"/>
  <c r="E49" i="56" s="1"/>
  <c r="E57" i="56" s="1"/>
  <c r="E15" i="56" l="1"/>
  <c r="E22" i="56" s="1"/>
  <c r="E29" i="56" s="1"/>
  <c r="E37" i="56" s="1"/>
  <c r="E50" i="56" s="1"/>
  <c r="E58" i="56" s="1"/>
  <c r="I15" i="56"/>
  <c r="I22" i="56" s="1"/>
  <c r="I29" i="56" s="1"/>
  <c r="I37" i="56" s="1"/>
  <c r="I50" i="56" s="1"/>
  <c r="I58" i="56" s="1"/>
  <c r="I14" i="56"/>
  <c r="I21" i="56" s="1"/>
  <c r="I28" i="56" s="1"/>
  <c r="I36" i="56" s="1"/>
  <c r="I49" i="56" s="1"/>
  <c r="I57" i="56" s="1"/>
  <c r="H15" i="56"/>
  <c r="H22" i="56" s="1"/>
  <c r="H29" i="56" s="1"/>
  <c r="H37" i="56" s="1"/>
  <c r="H50" i="56" s="1"/>
  <c r="H58" i="56" s="1"/>
  <c r="H14" i="56"/>
  <c r="H21" i="56" s="1"/>
  <c r="H28" i="56" s="1"/>
  <c r="H36" i="56" s="1"/>
  <c r="H49" i="56" s="1"/>
  <c r="H57" i="56" s="1"/>
  <c r="G15" i="56"/>
  <c r="G22" i="56" s="1"/>
  <c r="G29" i="56" s="1"/>
  <c r="G37" i="56" s="1"/>
  <c r="G50" i="56" s="1"/>
  <c r="G58" i="56" s="1"/>
  <c r="G14" i="56"/>
  <c r="G21" i="56" s="1"/>
  <c r="G28" i="56" s="1"/>
  <c r="G36" i="56" s="1"/>
  <c r="G49" i="56" s="1"/>
  <c r="G57" i="56" s="1"/>
  <c r="F15" i="56"/>
  <c r="F22" i="56" s="1"/>
  <c r="F29" i="56" s="1"/>
  <c r="F37" i="56" s="1"/>
  <c r="F50" i="56" s="1"/>
  <c r="F58" i="56" s="1"/>
  <c r="F14" i="56"/>
  <c r="F21" i="56" s="1"/>
  <c r="F28" i="56" s="1"/>
  <c r="F36" i="56" s="1"/>
  <c r="F49" i="56" s="1"/>
  <c r="F57" i="56" s="1"/>
  <c r="C110" i="34"/>
  <c r="C100" i="34"/>
  <c r="F98" i="34"/>
  <c r="F115" i="34" s="1"/>
  <c r="E98" i="34"/>
  <c r="E105" i="34" s="1"/>
  <c r="G98" i="34"/>
  <c r="H98" i="34"/>
  <c r="D98" i="34"/>
  <c r="D65" i="34"/>
  <c r="D75" i="34" s="1"/>
  <c r="D106" i="34" s="1"/>
  <c r="H107" i="34"/>
  <c r="H109" i="34" s="1"/>
  <c r="H111" i="34" s="1"/>
  <c r="G107" i="34"/>
  <c r="G109" i="34" s="1"/>
  <c r="G111" i="34" s="1"/>
  <c r="F107" i="34"/>
  <c r="F109" i="34" s="1"/>
  <c r="F111" i="34" s="1"/>
  <c r="C60" i="34"/>
  <c r="C67" i="34"/>
  <c r="C69" i="34"/>
  <c r="C77" i="34"/>
  <c r="C78" i="34"/>
  <c r="C76" i="34"/>
  <c r="C61" i="34"/>
  <c r="E65" i="34"/>
  <c r="E75" i="34" s="1"/>
  <c r="C59" i="34"/>
  <c r="H65" i="34"/>
  <c r="H75" i="34" s="1"/>
  <c r="H99" i="34" s="1"/>
  <c r="H106" i="34" s="1"/>
  <c r="G65" i="34"/>
  <c r="G75" i="34" s="1"/>
  <c r="F65" i="34"/>
  <c r="F75" i="34" s="1"/>
  <c r="F99" i="34" s="1"/>
  <c r="F106" i="34" s="1"/>
  <c r="H66" i="34" l="1"/>
  <c r="H68" i="34" s="1"/>
  <c r="H70" i="34" s="1"/>
  <c r="E16" i="53" s="1"/>
  <c r="F116" i="34"/>
  <c r="H116" i="34"/>
  <c r="E107" i="34"/>
  <c r="E109" i="34" s="1"/>
  <c r="E111" i="34" s="1"/>
  <c r="D107" i="34"/>
  <c r="D109" i="34" s="1"/>
  <c r="E115" i="34"/>
  <c r="G105" i="34"/>
  <c r="G115" i="34"/>
  <c r="D115" i="34"/>
  <c r="D105" i="34"/>
  <c r="H115" i="34"/>
  <c r="H105" i="34"/>
  <c r="F105" i="34"/>
  <c r="G99" i="34"/>
  <c r="D116" i="34"/>
  <c r="E99" i="34"/>
  <c r="E27" i="53" l="1"/>
  <c r="BD6" i="58"/>
  <c r="BJ6" i="58" s="1"/>
  <c r="BD6" i="38"/>
  <c r="BJ6" i="38"/>
  <c r="G106" i="34"/>
  <c r="G116" i="34"/>
  <c r="D111" i="34"/>
  <c r="E106" i="34"/>
  <c r="E116" i="34"/>
  <c r="E23" i="44" l="1"/>
  <c r="E23" i="43"/>
  <c r="E23" i="42"/>
  <c r="D53" i="40"/>
  <c r="D53" i="41"/>
  <c r="I47" i="40" l="1"/>
  <c r="C23" i="16" l="1"/>
  <c r="C24" i="16"/>
  <c r="C22" i="16"/>
  <c r="F10" i="44" l="1"/>
  <c r="F10" i="43"/>
  <c r="F10" i="42"/>
  <c r="F10" i="41"/>
  <c r="L2" i="44"/>
  <c r="L2" i="43"/>
  <c r="L2" i="42"/>
  <c r="L2" i="41"/>
  <c r="F8" i="40"/>
  <c r="F7" i="40"/>
  <c r="L2" i="40" s="1"/>
  <c r="D192" i="44"/>
  <c r="D192" i="43"/>
  <c r="D192" i="42"/>
  <c r="D192" i="41"/>
  <c r="D192" i="40"/>
  <c r="F24" i="46"/>
  <c r="F24" i="49"/>
  <c r="P6" i="58" s="1"/>
  <c r="F24" i="48"/>
  <c r="P5" i="58" s="1"/>
  <c r="F24" i="47"/>
  <c r="P4" i="58" s="1"/>
  <c r="D32" i="35"/>
  <c r="B3" i="18"/>
  <c r="F79" i="36"/>
  <c r="BB9" i="58" s="1"/>
  <c r="F53" i="36"/>
  <c r="AL9" i="58" s="1"/>
  <c r="F45" i="36"/>
  <c r="AF9" i="58" s="1"/>
  <c r="F79" i="49"/>
  <c r="BB6" i="58" s="1"/>
  <c r="F53" i="49"/>
  <c r="AL6" i="58" s="1"/>
  <c r="F45" i="49"/>
  <c r="AF6" i="58" s="1"/>
  <c r="F79" i="48"/>
  <c r="BB5" i="58" s="1"/>
  <c r="F53" i="48"/>
  <c r="AL5" i="58" s="1"/>
  <c r="F45" i="48"/>
  <c r="AF5" i="58" s="1"/>
  <c r="F79" i="47"/>
  <c r="BB4" i="58" s="1"/>
  <c r="F53" i="47"/>
  <c r="AL4" i="58" s="1"/>
  <c r="F45" i="47"/>
  <c r="AF4" i="58" s="1"/>
  <c r="F79" i="46"/>
  <c r="BB3" i="58" s="1"/>
  <c r="F53" i="46"/>
  <c r="AL3" i="58" s="1"/>
  <c r="F45" i="46"/>
  <c r="AF3" i="58" s="1"/>
  <c r="F53" i="45"/>
  <c r="AL2" i="58" s="1"/>
  <c r="F79" i="45"/>
  <c r="BB2" i="58" s="1"/>
  <c r="F45" i="45"/>
  <c r="AF2" i="58" s="1"/>
  <c r="C3" i="56"/>
  <c r="P3" i="38" l="1"/>
  <c r="P3" i="58"/>
  <c r="G1" i="35"/>
  <c r="BS6" i="38"/>
  <c r="AY6" i="38"/>
  <c r="F6" i="38"/>
  <c r="A6" i="38"/>
  <c r="BS5" i="38"/>
  <c r="AY5" i="38"/>
  <c r="F5" i="38"/>
  <c r="A5" i="38"/>
  <c r="BS4" i="38"/>
  <c r="AY4" i="38"/>
  <c r="F4" i="38"/>
  <c r="A4" i="38"/>
  <c r="BS3" i="38"/>
  <c r="AY3" i="38"/>
  <c r="F3" i="38"/>
  <c r="A3" i="38"/>
  <c r="BS2" i="38"/>
  <c r="AY2" i="38"/>
  <c r="F2" i="38"/>
  <c r="A2" i="38"/>
  <c r="BI9" i="58" l="1"/>
  <c r="BG9" i="58"/>
  <c r="BF9" i="58"/>
  <c r="BE9" i="58"/>
  <c r="E9" i="54" l="1"/>
  <c r="C76" i="54"/>
  <c r="E46" i="54"/>
  <c r="E76" i="54"/>
  <c r="D122" i="18"/>
  <c r="D121" i="18"/>
  <c r="D120" i="18"/>
  <c r="D117" i="18"/>
  <c r="D116" i="18"/>
  <c r="D115" i="18"/>
  <c r="D109" i="18"/>
  <c r="D108" i="18"/>
  <c r="D107" i="18"/>
  <c r="D106" i="18"/>
  <c r="D102" i="18"/>
  <c r="D101" i="18"/>
  <c r="D100" i="18"/>
  <c r="D99" i="18"/>
  <c r="D98" i="18"/>
  <c r="D97" i="18"/>
  <c r="D96" i="18"/>
  <c r="D95" i="18"/>
  <c r="D94" i="18"/>
  <c r="D93" i="18"/>
  <c r="D92" i="18"/>
  <c r="D91" i="18"/>
  <c r="D90" i="18"/>
  <c r="D89" i="18"/>
  <c r="D88" i="18"/>
  <c r="D87" i="18"/>
  <c r="D86" i="18"/>
  <c r="D85" i="18"/>
  <c r="D84" i="18"/>
  <c r="D83" i="18"/>
  <c r="D82" i="18"/>
  <c r="D79" i="18"/>
  <c r="D78" i="18"/>
  <c r="D75" i="18"/>
  <c r="D74" i="18"/>
  <c r="D73" i="18"/>
  <c r="E70" i="18"/>
  <c r="D70" i="18"/>
  <c r="E69" i="18"/>
  <c r="D69" i="18"/>
  <c r="E68" i="18"/>
  <c r="D68" i="18"/>
  <c r="E67" i="18"/>
  <c r="D67" i="18"/>
  <c r="E66" i="18"/>
  <c r="D66" i="18"/>
  <c r="E65" i="18"/>
  <c r="D65" i="18"/>
  <c r="E64" i="18"/>
  <c r="D64" i="18"/>
  <c r="E61" i="18"/>
  <c r="D61" i="18"/>
  <c r="E60" i="18"/>
  <c r="D60" i="18"/>
  <c r="E59" i="18"/>
  <c r="D59" i="18"/>
  <c r="E58" i="18"/>
  <c r="D58" i="18"/>
  <c r="E57" i="18"/>
  <c r="D57" i="18"/>
  <c r="E56" i="18"/>
  <c r="D56" i="18"/>
  <c r="E55" i="18"/>
  <c r="D55" i="18"/>
  <c r="E53" i="18"/>
  <c r="D53" i="18"/>
  <c r="E52" i="18"/>
  <c r="D52" i="18"/>
  <c r="E51" i="18"/>
  <c r="D51" i="18"/>
  <c r="E50" i="18"/>
  <c r="D50" i="18"/>
  <c r="E49" i="18"/>
  <c r="D49" i="18"/>
  <c r="E48" i="18"/>
  <c r="D48" i="18"/>
  <c r="E47" i="18"/>
  <c r="D47" i="18"/>
  <c r="E45" i="18"/>
  <c r="D45" i="18"/>
  <c r="E44" i="18"/>
  <c r="D44" i="18"/>
  <c r="E43" i="18"/>
  <c r="D43" i="18"/>
  <c r="E42" i="18"/>
  <c r="D42" i="18"/>
  <c r="E41" i="18"/>
  <c r="D41" i="18"/>
  <c r="E40" i="18"/>
  <c r="D40" i="18"/>
  <c r="E39" i="18"/>
  <c r="D39" i="18"/>
  <c r="E30" i="18"/>
  <c r="E29" i="18"/>
  <c r="D30" i="18"/>
  <c r="D29" i="18"/>
  <c r="D24" i="18"/>
  <c r="E22" i="18"/>
  <c r="D22" i="18"/>
  <c r="E21" i="18"/>
  <c r="D21" i="18"/>
  <c r="F40" i="36" l="1"/>
  <c r="AA9" i="58" s="1"/>
  <c r="E23" i="54"/>
  <c r="BE6" i="38"/>
  <c r="E9" i="53"/>
  <c r="C76" i="53"/>
  <c r="E66" i="53"/>
  <c r="E64" i="53"/>
  <c r="E45" i="52"/>
  <c r="E9" i="52"/>
  <c r="C76" i="52"/>
  <c r="BI4" i="58"/>
  <c r="E9" i="51"/>
  <c r="C76" i="51"/>
  <c r="E9" i="50"/>
  <c r="E9" i="37"/>
  <c r="C76" i="50"/>
  <c r="E20" i="37"/>
  <c r="BE2" i="58" s="1"/>
  <c r="BB6" i="38"/>
  <c r="F64" i="49"/>
  <c r="F63" i="49"/>
  <c r="F60" i="49"/>
  <c r="F59" i="49"/>
  <c r="F57" i="49"/>
  <c r="AM6" i="38"/>
  <c r="AL6" i="38"/>
  <c r="F52" i="49"/>
  <c r="F51" i="49"/>
  <c r="F50" i="49"/>
  <c r="F49" i="49"/>
  <c r="F48" i="49"/>
  <c r="AF6" i="38"/>
  <c r="F44" i="49"/>
  <c r="F43" i="49"/>
  <c r="F42" i="49"/>
  <c r="F41" i="49"/>
  <c r="F40" i="49"/>
  <c r="F32" i="49"/>
  <c r="Y6" i="58" s="1"/>
  <c r="F18" i="49"/>
  <c r="F11" i="49"/>
  <c r="F10" i="49"/>
  <c r="F8" i="49"/>
  <c r="I26" i="49"/>
  <c r="I25" i="49"/>
  <c r="I24" i="49"/>
  <c r="I23" i="49"/>
  <c r="I22" i="49"/>
  <c r="I21" i="49"/>
  <c r="F26" i="49"/>
  <c r="F25" i="49"/>
  <c r="P6" i="38"/>
  <c r="F23" i="49"/>
  <c r="F22" i="49"/>
  <c r="F21" i="49"/>
  <c r="B129" i="44"/>
  <c r="B129" i="42"/>
  <c r="B129" i="43"/>
  <c r="B129" i="41"/>
  <c r="F96" i="49"/>
  <c r="C96" i="49"/>
  <c r="C88" i="49"/>
  <c r="J6" i="58" s="1"/>
  <c r="I82" i="49"/>
  <c r="F82" i="49"/>
  <c r="C82" i="49"/>
  <c r="F9" i="49"/>
  <c r="L1" i="49"/>
  <c r="BB5" i="38"/>
  <c r="F64" i="48"/>
  <c r="F63" i="48"/>
  <c r="F60" i="48"/>
  <c r="F59" i="48"/>
  <c r="F57" i="48"/>
  <c r="AM5" i="38"/>
  <c r="AL5" i="38"/>
  <c r="F52" i="48"/>
  <c r="F51" i="48"/>
  <c r="F50" i="48"/>
  <c r="F49" i="48"/>
  <c r="F48" i="48"/>
  <c r="AF5" i="38"/>
  <c r="F44" i="48"/>
  <c r="F43" i="48"/>
  <c r="F42" i="48"/>
  <c r="F41" i="48"/>
  <c r="F40" i="48"/>
  <c r="AA5" i="58" s="1"/>
  <c r="Z5" i="38"/>
  <c r="F32" i="48"/>
  <c r="Y5" i="58" s="1"/>
  <c r="F18" i="48"/>
  <c r="F11" i="48"/>
  <c r="F10" i="48"/>
  <c r="F8" i="48"/>
  <c r="I26" i="48"/>
  <c r="I25" i="48"/>
  <c r="I24" i="48"/>
  <c r="I23" i="48"/>
  <c r="I22" i="48"/>
  <c r="I21" i="48"/>
  <c r="F26" i="48"/>
  <c r="F25" i="48"/>
  <c r="P5" i="38"/>
  <c r="F23" i="48"/>
  <c r="F22" i="48"/>
  <c r="F21" i="48"/>
  <c r="M5" i="58" s="1"/>
  <c r="F10" i="47"/>
  <c r="F96" i="48"/>
  <c r="C96" i="48"/>
  <c r="C88" i="48"/>
  <c r="I82" i="48"/>
  <c r="F82" i="48"/>
  <c r="C82" i="48"/>
  <c r="F9" i="48"/>
  <c r="L1" i="48"/>
  <c r="BB4" i="38"/>
  <c r="F64" i="47"/>
  <c r="F63" i="47"/>
  <c r="F60" i="47"/>
  <c r="F59" i="47"/>
  <c r="F57" i="47"/>
  <c r="AM4" i="38"/>
  <c r="AL4" i="38"/>
  <c r="F52" i="47"/>
  <c r="F51" i="47"/>
  <c r="F50" i="47"/>
  <c r="F49" i="47"/>
  <c r="F48" i="47"/>
  <c r="AF4" i="38"/>
  <c r="F44" i="47"/>
  <c r="F43" i="47"/>
  <c r="F42" i="47"/>
  <c r="F41" i="47"/>
  <c r="F40" i="47"/>
  <c r="F32" i="47"/>
  <c r="Y4" i="58" s="1"/>
  <c r="I26" i="47"/>
  <c r="I25" i="47"/>
  <c r="I24" i="47"/>
  <c r="I23" i="47"/>
  <c r="I22" i="47"/>
  <c r="I21" i="47"/>
  <c r="F26" i="47"/>
  <c r="F25" i="47"/>
  <c r="P4" i="38"/>
  <c r="F23" i="47"/>
  <c r="F22" i="47"/>
  <c r="F21" i="47"/>
  <c r="F18" i="47"/>
  <c r="F11" i="47"/>
  <c r="F8" i="47"/>
  <c r="F96" i="47"/>
  <c r="C96" i="47"/>
  <c r="C88" i="47"/>
  <c r="I82" i="47"/>
  <c r="F82" i="47"/>
  <c r="C82" i="47"/>
  <c r="F9" i="47"/>
  <c r="L1" i="47"/>
  <c r="BB3" i="38"/>
  <c r="F64" i="46"/>
  <c r="F63" i="46"/>
  <c r="F60" i="46"/>
  <c r="F59" i="46"/>
  <c r="F57" i="46"/>
  <c r="AM3" i="38"/>
  <c r="AL3" i="38"/>
  <c r="F52" i="46"/>
  <c r="F51" i="46"/>
  <c r="F50" i="46"/>
  <c r="F49" i="46"/>
  <c r="F48" i="46"/>
  <c r="AF3" i="38"/>
  <c r="F44" i="46"/>
  <c r="F43" i="46"/>
  <c r="F42" i="46"/>
  <c r="F41" i="46"/>
  <c r="F40" i="46"/>
  <c r="F32" i="46"/>
  <c r="Y3" i="58" s="1"/>
  <c r="I26" i="46"/>
  <c r="I25" i="46"/>
  <c r="I24" i="46"/>
  <c r="I23" i="46"/>
  <c r="I22" i="46"/>
  <c r="I21" i="46"/>
  <c r="F26" i="46"/>
  <c r="F25" i="46"/>
  <c r="F23" i="46"/>
  <c r="F22" i="46"/>
  <c r="F21" i="46"/>
  <c r="F18" i="46"/>
  <c r="F11" i="46"/>
  <c r="F10" i="46"/>
  <c r="F8" i="46"/>
  <c r="F96" i="46"/>
  <c r="C96" i="46"/>
  <c r="C88" i="46"/>
  <c r="I82" i="46"/>
  <c r="F82" i="46"/>
  <c r="C82" i="46"/>
  <c r="F9" i="46"/>
  <c r="C3" i="58" s="1"/>
  <c r="L1" i="46"/>
  <c r="BB2" i="38"/>
  <c r="F64" i="45"/>
  <c r="F63" i="45"/>
  <c r="F60" i="45"/>
  <c r="F59" i="45"/>
  <c r="F57" i="45"/>
  <c r="AL2" i="38"/>
  <c r="F52" i="45"/>
  <c r="F51" i="45"/>
  <c r="F50" i="45"/>
  <c r="F49" i="45"/>
  <c r="F48" i="45"/>
  <c r="AF2" i="38"/>
  <c r="AE2" i="38"/>
  <c r="F43" i="45"/>
  <c r="F42" i="45"/>
  <c r="F41" i="45"/>
  <c r="F18" i="45"/>
  <c r="F11" i="45"/>
  <c r="F10" i="45"/>
  <c r="F8" i="45"/>
  <c r="F96" i="45"/>
  <c r="C96" i="45"/>
  <c r="C88" i="45"/>
  <c r="J2" i="58" s="1"/>
  <c r="I82" i="45"/>
  <c r="F82" i="45"/>
  <c r="C82" i="45"/>
  <c r="I26" i="45"/>
  <c r="F26" i="45"/>
  <c r="I25" i="45"/>
  <c r="F25" i="45"/>
  <c r="I24" i="45"/>
  <c r="F24" i="45"/>
  <c r="I23" i="45"/>
  <c r="F23" i="45"/>
  <c r="I22" i="45"/>
  <c r="F22" i="45"/>
  <c r="I21" i="45"/>
  <c r="F21" i="45"/>
  <c r="F9" i="45"/>
  <c r="C2" i="58" s="1"/>
  <c r="L1" i="45"/>
  <c r="F22" i="44"/>
  <c r="B2" i="44"/>
  <c r="B168" i="44"/>
  <c r="B164" i="44"/>
  <c r="D149" i="44"/>
  <c r="D138" i="44"/>
  <c r="D136" i="44"/>
  <c r="E121" i="44"/>
  <c r="E120" i="44"/>
  <c r="E119" i="44"/>
  <c r="E116" i="44"/>
  <c r="E115" i="44"/>
  <c r="E114" i="44"/>
  <c r="D113" i="44"/>
  <c r="F104" i="44"/>
  <c r="D103" i="44"/>
  <c r="D80" i="44"/>
  <c r="D76" i="44"/>
  <c r="D71" i="44"/>
  <c r="I69" i="44"/>
  <c r="F69" i="44"/>
  <c r="I68" i="44"/>
  <c r="F68" i="44"/>
  <c r="I67" i="44"/>
  <c r="F67" i="44"/>
  <c r="I66" i="44"/>
  <c r="F66" i="44"/>
  <c r="I65" i="44"/>
  <c r="F65" i="44"/>
  <c r="I64" i="44"/>
  <c r="F64" i="44"/>
  <c r="I63" i="44"/>
  <c r="F63" i="44"/>
  <c r="E62" i="44"/>
  <c r="D62" i="44"/>
  <c r="I60" i="44"/>
  <c r="F60" i="44"/>
  <c r="I59" i="44"/>
  <c r="F59" i="44"/>
  <c r="I58" i="44"/>
  <c r="F58" i="44"/>
  <c r="I57" i="44"/>
  <c r="F57" i="44"/>
  <c r="I56" i="44"/>
  <c r="F56" i="44"/>
  <c r="I55" i="44"/>
  <c r="F55" i="44"/>
  <c r="I54" i="44"/>
  <c r="F54" i="44"/>
  <c r="E53" i="44"/>
  <c r="D53" i="44"/>
  <c r="I52" i="44"/>
  <c r="F52" i="44"/>
  <c r="I51" i="44"/>
  <c r="F51" i="44"/>
  <c r="I50" i="44"/>
  <c r="F50" i="44"/>
  <c r="I49" i="44"/>
  <c r="F49" i="44"/>
  <c r="I48" i="44"/>
  <c r="F48" i="44"/>
  <c r="F47" i="44"/>
  <c r="I46" i="44"/>
  <c r="F46" i="44"/>
  <c r="E45" i="44"/>
  <c r="D45" i="44"/>
  <c r="I44" i="44"/>
  <c r="F44" i="44"/>
  <c r="I43" i="44"/>
  <c r="F43" i="44"/>
  <c r="I42" i="44"/>
  <c r="F42" i="44"/>
  <c r="I41" i="44"/>
  <c r="F41" i="44"/>
  <c r="I40" i="44"/>
  <c r="F40" i="44"/>
  <c r="F39" i="44"/>
  <c r="I38" i="44"/>
  <c r="F38" i="44"/>
  <c r="E37" i="44"/>
  <c r="D37" i="44"/>
  <c r="H29" i="44"/>
  <c r="F29" i="44"/>
  <c r="H28" i="44"/>
  <c r="F28" i="44"/>
  <c r="F27" i="44"/>
  <c r="F26" i="44"/>
  <c r="F24" i="44"/>
  <c r="H21" i="44"/>
  <c r="F21" i="44"/>
  <c r="H20" i="44"/>
  <c r="F20" i="44"/>
  <c r="L2" i="49"/>
  <c r="L1" i="44"/>
  <c r="B1" i="44"/>
  <c r="F22" i="43"/>
  <c r="B2" i="43"/>
  <c r="B168" i="43"/>
  <c r="B164" i="43"/>
  <c r="D149" i="43"/>
  <c r="D138" i="43"/>
  <c r="D136" i="43"/>
  <c r="E121" i="43"/>
  <c r="E120" i="43"/>
  <c r="E119" i="43"/>
  <c r="E118" i="43" s="1"/>
  <c r="D154" i="43" s="1"/>
  <c r="D118" i="43"/>
  <c r="E116" i="43"/>
  <c r="E115" i="43"/>
  <c r="E114" i="43"/>
  <c r="D113" i="43"/>
  <c r="F104" i="43"/>
  <c r="D103" i="43"/>
  <c r="D80" i="43"/>
  <c r="D76" i="43"/>
  <c r="D71" i="43"/>
  <c r="I69" i="43"/>
  <c r="F69" i="43"/>
  <c r="I68" i="43"/>
  <c r="F68" i="43"/>
  <c r="I67" i="43"/>
  <c r="F67" i="43"/>
  <c r="I66" i="43"/>
  <c r="F66" i="43"/>
  <c r="I65" i="43"/>
  <c r="F65" i="43"/>
  <c r="I64" i="43"/>
  <c r="F64" i="43"/>
  <c r="I63" i="43"/>
  <c r="F63" i="43"/>
  <c r="E62" i="43"/>
  <c r="D62" i="43"/>
  <c r="I60" i="43"/>
  <c r="F60" i="43"/>
  <c r="I59" i="43"/>
  <c r="F59" i="43"/>
  <c r="I58" i="43"/>
  <c r="F58" i="43"/>
  <c r="I57" i="43"/>
  <c r="F57" i="43"/>
  <c r="I56" i="43"/>
  <c r="F56" i="43"/>
  <c r="I55" i="43"/>
  <c r="F55" i="43"/>
  <c r="I54" i="43"/>
  <c r="F54" i="43"/>
  <c r="E53" i="43"/>
  <c r="D53" i="43"/>
  <c r="I52" i="43"/>
  <c r="F52" i="43"/>
  <c r="I51" i="43"/>
  <c r="F51" i="43"/>
  <c r="I50" i="43"/>
  <c r="F50" i="43"/>
  <c r="I49" i="43"/>
  <c r="F49" i="43"/>
  <c r="I48" i="43"/>
  <c r="F48" i="43"/>
  <c r="F47" i="43"/>
  <c r="I46" i="43"/>
  <c r="F46" i="43"/>
  <c r="E45" i="43"/>
  <c r="D45" i="43"/>
  <c r="I44" i="43"/>
  <c r="F44" i="43"/>
  <c r="I43" i="43"/>
  <c r="F43" i="43"/>
  <c r="I42" i="43"/>
  <c r="F42" i="43"/>
  <c r="I41" i="43"/>
  <c r="F41" i="43"/>
  <c r="I40" i="43"/>
  <c r="F40" i="43"/>
  <c r="F39" i="43"/>
  <c r="I38" i="43"/>
  <c r="F38" i="43"/>
  <c r="E37" i="43"/>
  <c r="D37" i="43"/>
  <c r="H29" i="43"/>
  <c r="F29" i="43"/>
  <c r="H28" i="43"/>
  <c r="F28" i="43"/>
  <c r="F27" i="43"/>
  <c r="F26" i="43"/>
  <c r="F24" i="43"/>
  <c r="H21" i="43"/>
  <c r="F21" i="43"/>
  <c r="H20" i="43"/>
  <c r="F20" i="43"/>
  <c r="L2" i="48"/>
  <c r="L1" i="43"/>
  <c r="B1" i="43"/>
  <c r="F22" i="42"/>
  <c r="B2" i="42"/>
  <c r="B168" i="42"/>
  <c r="B164" i="42"/>
  <c r="D149" i="42"/>
  <c r="D138" i="42"/>
  <c r="D136" i="42"/>
  <c r="E121" i="42"/>
  <c r="E120" i="42"/>
  <c r="E119" i="42"/>
  <c r="E118" i="42" s="1"/>
  <c r="D154" i="42" s="1"/>
  <c r="D118" i="42"/>
  <c r="E116" i="42"/>
  <c r="E115" i="42"/>
  <c r="E114" i="42"/>
  <c r="D113" i="42"/>
  <c r="F104" i="42"/>
  <c r="D103" i="42"/>
  <c r="D80" i="42"/>
  <c r="D76" i="42"/>
  <c r="D71" i="42"/>
  <c r="I69" i="42"/>
  <c r="F69" i="42"/>
  <c r="I68" i="42"/>
  <c r="F68" i="42"/>
  <c r="I67" i="42"/>
  <c r="F67" i="42"/>
  <c r="I66" i="42"/>
  <c r="F66" i="42"/>
  <c r="I65" i="42"/>
  <c r="F65" i="42"/>
  <c r="I64" i="42"/>
  <c r="F64" i="42"/>
  <c r="I63" i="42"/>
  <c r="F63" i="42"/>
  <c r="E62" i="42"/>
  <c r="D62" i="42"/>
  <c r="I60" i="42"/>
  <c r="F60" i="42"/>
  <c r="I59" i="42"/>
  <c r="F59" i="42"/>
  <c r="I58" i="42"/>
  <c r="F58" i="42"/>
  <c r="I57" i="42"/>
  <c r="F57" i="42"/>
  <c r="I56" i="42"/>
  <c r="F56" i="42"/>
  <c r="I55" i="42"/>
  <c r="F55" i="42"/>
  <c r="I54" i="42"/>
  <c r="F54" i="42"/>
  <c r="E53" i="42"/>
  <c r="D53" i="42"/>
  <c r="I52" i="42"/>
  <c r="F52" i="42"/>
  <c r="I51" i="42"/>
  <c r="F51" i="42"/>
  <c r="I50" i="42"/>
  <c r="F50" i="42"/>
  <c r="I49" i="42"/>
  <c r="F49" i="42"/>
  <c r="I48" i="42"/>
  <c r="F48" i="42"/>
  <c r="F47" i="42"/>
  <c r="I46" i="42"/>
  <c r="F46" i="42"/>
  <c r="E45" i="42"/>
  <c r="D45" i="42"/>
  <c r="I44" i="42"/>
  <c r="F44" i="42"/>
  <c r="I43" i="42"/>
  <c r="F43" i="42"/>
  <c r="I42" i="42"/>
  <c r="F42" i="42"/>
  <c r="I41" i="42"/>
  <c r="F41" i="42"/>
  <c r="I40" i="42"/>
  <c r="F40" i="42"/>
  <c r="F39" i="42"/>
  <c r="I38" i="42"/>
  <c r="F38" i="42"/>
  <c r="E37" i="42"/>
  <c r="D37" i="42"/>
  <c r="H29" i="42"/>
  <c r="F29" i="42"/>
  <c r="H28" i="42"/>
  <c r="F28" i="42"/>
  <c r="F27" i="42"/>
  <c r="F26" i="42"/>
  <c r="F24" i="42"/>
  <c r="H21" i="42"/>
  <c r="F21" i="42"/>
  <c r="H20" i="42"/>
  <c r="F20" i="42"/>
  <c r="L2" i="47"/>
  <c r="L1" i="42"/>
  <c r="B1" i="42"/>
  <c r="D149" i="41"/>
  <c r="D149" i="40"/>
  <c r="F22" i="41"/>
  <c r="B2" i="41"/>
  <c r="B168" i="41"/>
  <c r="B164" i="41"/>
  <c r="D138" i="41"/>
  <c r="D136" i="41"/>
  <c r="E121" i="41"/>
  <c r="E120" i="41"/>
  <c r="E119" i="41"/>
  <c r="D118" i="41"/>
  <c r="E116" i="41"/>
  <c r="E115" i="41"/>
  <c r="E114" i="41"/>
  <c r="D113" i="41"/>
  <c r="F104" i="41"/>
  <c r="D103" i="41"/>
  <c r="D80" i="41"/>
  <c r="D76" i="41"/>
  <c r="D71" i="41"/>
  <c r="I69" i="41"/>
  <c r="F69" i="41"/>
  <c r="I68" i="41"/>
  <c r="F68" i="41"/>
  <c r="I67" i="41"/>
  <c r="F67" i="41"/>
  <c r="I66" i="41"/>
  <c r="F66" i="41"/>
  <c r="I65" i="41"/>
  <c r="F65" i="41"/>
  <c r="I64" i="41"/>
  <c r="F64" i="41"/>
  <c r="I63" i="41"/>
  <c r="F63" i="41"/>
  <c r="E62" i="41"/>
  <c r="D62" i="41"/>
  <c r="I60" i="41"/>
  <c r="F60" i="41"/>
  <c r="I59" i="41"/>
  <c r="F59" i="41"/>
  <c r="I58" i="41"/>
  <c r="F58" i="41"/>
  <c r="I57" i="41"/>
  <c r="F57" i="41"/>
  <c r="I56" i="41"/>
  <c r="F56" i="41"/>
  <c r="I55" i="41"/>
  <c r="F55" i="41"/>
  <c r="I54" i="41"/>
  <c r="F54" i="41"/>
  <c r="E53" i="41"/>
  <c r="I52" i="41"/>
  <c r="F52" i="41"/>
  <c r="I51" i="41"/>
  <c r="F51" i="41"/>
  <c r="I50" i="41"/>
  <c r="F50" i="41"/>
  <c r="I49" i="41"/>
  <c r="F49" i="41"/>
  <c r="I48" i="41"/>
  <c r="F48" i="41"/>
  <c r="F47" i="41"/>
  <c r="I46" i="41"/>
  <c r="F46" i="41"/>
  <c r="E45" i="41"/>
  <c r="D45" i="41"/>
  <c r="I44" i="41"/>
  <c r="F44" i="41"/>
  <c r="I43" i="41"/>
  <c r="F43" i="41"/>
  <c r="I42" i="41"/>
  <c r="F42" i="41"/>
  <c r="I41" i="41"/>
  <c r="F41" i="41"/>
  <c r="I40" i="41"/>
  <c r="F40" i="41"/>
  <c r="F39" i="41"/>
  <c r="I38" i="41"/>
  <c r="F38" i="41"/>
  <c r="E37" i="41"/>
  <c r="D37" i="41"/>
  <c r="H29" i="41"/>
  <c r="F29" i="41"/>
  <c r="H28" i="41"/>
  <c r="F28" i="41"/>
  <c r="F27" i="41"/>
  <c r="F26" i="41"/>
  <c r="F24" i="41"/>
  <c r="E23" i="41"/>
  <c r="H21" i="41"/>
  <c r="F21" i="41"/>
  <c r="H20" i="41"/>
  <c r="F20" i="41"/>
  <c r="L2" i="46"/>
  <c r="L1" i="41"/>
  <c r="B1" i="41"/>
  <c r="C195" i="40"/>
  <c r="C191" i="40"/>
  <c r="D138" i="40"/>
  <c r="D136" i="40"/>
  <c r="X6" i="38" l="1"/>
  <c r="X6" i="58"/>
  <c r="N3" i="38"/>
  <c r="N3" i="58"/>
  <c r="V6" i="38"/>
  <c r="V6" i="58"/>
  <c r="R3" i="38"/>
  <c r="R3" i="58"/>
  <c r="O4" i="38"/>
  <c r="O4" i="58"/>
  <c r="N5" i="38"/>
  <c r="N5" i="58"/>
  <c r="BE5" i="38"/>
  <c r="BE5" i="58"/>
  <c r="O3" i="38"/>
  <c r="O3" i="58"/>
  <c r="O5" i="38"/>
  <c r="O5" i="58"/>
  <c r="BF5" i="38"/>
  <c r="BF5" i="58"/>
  <c r="M4" i="38"/>
  <c r="M4" i="58"/>
  <c r="T3" i="38"/>
  <c r="T3" i="58"/>
  <c r="Q4" i="38"/>
  <c r="Q4" i="58"/>
  <c r="BG5" i="38"/>
  <c r="BG5" i="58"/>
  <c r="U3" i="38"/>
  <c r="U3" i="58"/>
  <c r="R4" i="38"/>
  <c r="R4" i="58"/>
  <c r="Q5" i="38"/>
  <c r="Q5" i="58"/>
  <c r="BH5" i="38"/>
  <c r="BH5" i="58"/>
  <c r="W6" i="38"/>
  <c r="W6" i="58"/>
  <c r="V3" i="38"/>
  <c r="V3" i="58"/>
  <c r="S4" i="38"/>
  <c r="S4" i="58"/>
  <c r="R5" i="38"/>
  <c r="R5" i="58"/>
  <c r="E46" i="52"/>
  <c r="BI5" i="58"/>
  <c r="S3" i="38"/>
  <c r="S3" i="58"/>
  <c r="T4" i="38"/>
  <c r="T4" i="58"/>
  <c r="S5" i="38"/>
  <c r="S5" i="58"/>
  <c r="N4" i="38"/>
  <c r="N4" i="58"/>
  <c r="T5" i="38"/>
  <c r="T5" i="58"/>
  <c r="U5" i="38"/>
  <c r="U5" i="58"/>
  <c r="W4" i="38"/>
  <c r="W4" i="58"/>
  <c r="V5" i="38"/>
  <c r="V5" i="58"/>
  <c r="M6" i="38"/>
  <c r="M6" i="58"/>
  <c r="BE3" i="38"/>
  <c r="BE3" i="58"/>
  <c r="W5" i="38"/>
  <c r="W5" i="58"/>
  <c r="N6" i="38"/>
  <c r="N6" i="58"/>
  <c r="BF3" i="38"/>
  <c r="BF3" i="58"/>
  <c r="M2" i="38"/>
  <c r="M2" i="58"/>
  <c r="S2" i="38"/>
  <c r="S2" i="58"/>
  <c r="T2" i="38"/>
  <c r="T2" i="58"/>
  <c r="E46" i="50"/>
  <c r="BI3" i="58"/>
  <c r="BF6" i="38"/>
  <c r="BF6" i="58"/>
  <c r="X3" i="38"/>
  <c r="X3" i="58"/>
  <c r="V4" i="38"/>
  <c r="V4" i="58"/>
  <c r="X4" i="38"/>
  <c r="X4" i="58"/>
  <c r="BG3" i="38"/>
  <c r="BG3" i="58"/>
  <c r="V2" i="38"/>
  <c r="V2" i="58"/>
  <c r="Q6" i="38"/>
  <c r="Q6" i="58"/>
  <c r="BG6" i="38"/>
  <c r="BG6" i="58"/>
  <c r="U2" i="38"/>
  <c r="U2" i="58"/>
  <c r="O6" i="38"/>
  <c r="O6" i="58"/>
  <c r="P2" i="38"/>
  <c r="P2" i="58"/>
  <c r="Q2" i="38"/>
  <c r="Q2" i="58"/>
  <c r="R6" i="38"/>
  <c r="R6" i="58"/>
  <c r="BH6" i="38"/>
  <c r="BH6" i="58"/>
  <c r="BE4" i="38"/>
  <c r="BE4" i="58"/>
  <c r="E46" i="53"/>
  <c r="BI6" i="58"/>
  <c r="S6" i="38"/>
  <c r="S6" i="58"/>
  <c r="T6" i="38"/>
  <c r="T6" i="58"/>
  <c r="BF4" i="38"/>
  <c r="BF4" i="58"/>
  <c r="Q3" i="38"/>
  <c r="Q3" i="58"/>
  <c r="W3" i="38"/>
  <c r="W3" i="58"/>
  <c r="U4" i="38"/>
  <c r="U4" i="58"/>
  <c r="N2" i="38"/>
  <c r="N2" i="58"/>
  <c r="O2" i="38"/>
  <c r="O2" i="58"/>
  <c r="X5" i="38"/>
  <c r="X5" i="58"/>
  <c r="W2" i="38"/>
  <c r="W2" i="58"/>
  <c r="R2" i="38"/>
  <c r="R2" i="58"/>
  <c r="X2" i="38"/>
  <c r="X2" i="58"/>
  <c r="M3" i="38"/>
  <c r="M3" i="58"/>
  <c r="U6" i="38"/>
  <c r="U6" i="58"/>
  <c r="BG4" i="38"/>
  <c r="BG4" i="58"/>
  <c r="K5" i="38"/>
  <c r="K5" i="58"/>
  <c r="H2" i="38"/>
  <c r="H2" i="58"/>
  <c r="G6" i="38"/>
  <c r="G6" i="58"/>
  <c r="G2" i="38"/>
  <c r="G2" i="58"/>
  <c r="I2" i="38"/>
  <c r="I2" i="58"/>
  <c r="H6" i="38"/>
  <c r="H6" i="58"/>
  <c r="I6" i="38"/>
  <c r="I6" i="58"/>
  <c r="K2" i="38"/>
  <c r="K2" i="58"/>
  <c r="K6" i="38"/>
  <c r="K6" i="58"/>
  <c r="G3" i="38"/>
  <c r="G3" i="58"/>
  <c r="I3" i="38"/>
  <c r="I3" i="58"/>
  <c r="J3" i="38"/>
  <c r="J3" i="58"/>
  <c r="G4" i="38"/>
  <c r="G4" i="58"/>
  <c r="H4" i="38"/>
  <c r="H4" i="58"/>
  <c r="K3" i="38"/>
  <c r="K3" i="58"/>
  <c r="I4" i="38"/>
  <c r="I4" i="58"/>
  <c r="J4" i="38"/>
  <c r="J4" i="58"/>
  <c r="G5" i="38"/>
  <c r="G5" i="58"/>
  <c r="H5" i="38"/>
  <c r="H5" i="58"/>
  <c r="H3" i="38"/>
  <c r="H3" i="58"/>
  <c r="I5" i="38"/>
  <c r="I5" i="58"/>
  <c r="J5" i="38"/>
  <c r="J5" i="58"/>
  <c r="K4" i="38"/>
  <c r="K4" i="58"/>
  <c r="AP6" i="38"/>
  <c r="AP6" i="58"/>
  <c r="B6" i="38"/>
  <c r="B6" i="58"/>
  <c r="AQ6" i="38"/>
  <c r="AQ6" i="58"/>
  <c r="C6" i="38"/>
  <c r="C6" i="58"/>
  <c r="AN6" i="38"/>
  <c r="AN6" i="58"/>
  <c r="D6" i="38"/>
  <c r="D6" i="58"/>
  <c r="AR6" i="38"/>
  <c r="AR6" i="58"/>
  <c r="E6" i="38"/>
  <c r="E6" i="58"/>
  <c r="AS6" i="38"/>
  <c r="AS6" i="58"/>
  <c r="AA6" i="38"/>
  <c r="AA6" i="58"/>
  <c r="AB6" i="38"/>
  <c r="AB6" i="58"/>
  <c r="AC6" i="38"/>
  <c r="AC6" i="58"/>
  <c r="AD6" i="38"/>
  <c r="AD6" i="58"/>
  <c r="AE6" i="38"/>
  <c r="AE6" i="58"/>
  <c r="AG6" i="38"/>
  <c r="AG6" i="58"/>
  <c r="AH6" i="38"/>
  <c r="AH6" i="58"/>
  <c r="AI6" i="38"/>
  <c r="AI6" i="58"/>
  <c r="L6" i="38"/>
  <c r="L6" i="58"/>
  <c r="AJ6" i="38"/>
  <c r="AJ6" i="58"/>
  <c r="AK6" i="38"/>
  <c r="AK6" i="58"/>
  <c r="AC5" i="38"/>
  <c r="AC5" i="58"/>
  <c r="AB5" i="38"/>
  <c r="AB5" i="58"/>
  <c r="AD5" i="38"/>
  <c r="AD5" i="58"/>
  <c r="AE5" i="38"/>
  <c r="AE5" i="58"/>
  <c r="AI5" i="38"/>
  <c r="AI5" i="58"/>
  <c r="AJ5" i="38"/>
  <c r="AJ5" i="58"/>
  <c r="AK5" i="38"/>
  <c r="AK5" i="58"/>
  <c r="AN5" i="38"/>
  <c r="AN5" i="58"/>
  <c r="AH5" i="38"/>
  <c r="AH5" i="58"/>
  <c r="C5" i="38"/>
  <c r="C5" i="58"/>
  <c r="B5" i="38"/>
  <c r="B5" i="58"/>
  <c r="AP5" i="38"/>
  <c r="AP5" i="58"/>
  <c r="D5" i="38"/>
  <c r="D5" i="58"/>
  <c r="AQ5" i="38"/>
  <c r="AQ5" i="58"/>
  <c r="AG5" i="38"/>
  <c r="AG5" i="58"/>
  <c r="E5" i="38"/>
  <c r="E5" i="58"/>
  <c r="AR5" i="38"/>
  <c r="AR5" i="58"/>
  <c r="L5" i="38"/>
  <c r="L5" i="58"/>
  <c r="AS5" i="38"/>
  <c r="AS5" i="58"/>
  <c r="L4" i="38"/>
  <c r="L4" i="58"/>
  <c r="AG4" i="38"/>
  <c r="AG4" i="58"/>
  <c r="AI4" i="38"/>
  <c r="AI4" i="58"/>
  <c r="D4" i="38"/>
  <c r="D4" i="58"/>
  <c r="AJ4" i="38"/>
  <c r="AJ4" i="58"/>
  <c r="AK4" i="38"/>
  <c r="AK4" i="58"/>
  <c r="AH4" i="38"/>
  <c r="AH4" i="58"/>
  <c r="AN4" i="38"/>
  <c r="AN4" i="58"/>
  <c r="AP4" i="38"/>
  <c r="AP4" i="58"/>
  <c r="AQ4" i="38"/>
  <c r="AQ4" i="58"/>
  <c r="AR4" i="38"/>
  <c r="AR4" i="58"/>
  <c r="AS4" i="38"/>
  <c r="AS4" i="58"/>
  <c r="AA4" i="38"/>
  <c r="AA4" i="58"/>
  <c r="AB4" i="38"/>
  <c r="AB4" i="58"/>
  <c r="AC4" i="38"/>
  <c r="AC4" i="58"/>
  <c r="AD4" i="38"/>
  <c r="AD4" i="58"/>
  <c r="C4" i="38"/>
  <c r="C4" i="58"/>
  <c r="B4" i="38"/>
  <c r="B4" i="58"/>
  <c r="AE4" i="38"/>
  <c r="AE4" i="58"/>
  <c r="E4" i="38"/>
  <c r="E4" i="58"/>
  <c r="AJ3" i="38"/>
  <c r="AJ3" i="58"/>
  <c r="AK3" i="38"/>
  <c r="AK3" i="58"/>
  <c r="AN3" i="38"/>
  <c r="AN3" i="58"/>
  <c r="AP3" i="38"/>
  <c r="AP3" i="58"/>
  <c r="AS3" i="38"/>
  <c r="AS3" i="58"/>
  <c r="AA3" i="38"/>
  <c r="AA3" i="58"/>
  <c r="AB3" i="38"/>
  <c r="AB3" i="58"/>
  <c r="AC3" i="38"/>
  <c r="AC3" i="58"/>
  <c r="AR3" i="38"/>
  <c r="AR3" i="58"/>
  <c r="AD3" i="38"/>
  <c r="AD3" i="58"/>
  <c r="B3" i="38"/>
  <c r="B3" i="58"/>
  <c r="AE3" i="38"/>
  <c r="AE3" i="58"/>
  <c r="AQ3" i="38"/>
  <c r="AQ3" i="58"/>
  <c r="D3" i="38"/>
  <c r="D3" i="58"/>
  <c r="E3" i="38"/>
  <c r="E3" i="58"/>
  <c r="AG3" i="38"/>
  <c r="AG3" i="58"/>
  <c r="L3" i="38"/>
  <c r="L3" i="58"/>
  <c r="AH3" i="38"/>
  <c r="AH3" i="58"/>
  <c r="AI3" i="38"/>
  <c r="AI3" i="58"/>
  <c r="AQ2" i="38"/>
  <c r="AQ2" i="58"/>
  <c r="B2" i="38"/>
  <c r="B2" i="58"/>
  <c r="AN2" i="38"/>
  <c r="AN2" i="58"/>
  <c r="AP2" i="38"/>
  <c r="AP2" i="58"/>
  <c r="AR2" i="38"/>
  <c r="AR2" i="58"/>
  <c r="L2" i="38"/>
  <c r="L2" i="58"/>
  <c r="E2" i="38"/>
  <c r="E2" i="58"/>
  <c r="AB2" i="38"/>
  <c r="AB2" i="58"/>
  <c r="D2" i="38"/>
  <c r="D2" i="58"/>
  <c r="AC2" i="38"/>
  <c r="AC2" i="58"/>
  <c r="AD2" i="38"/>
  <c r="AD2" i="58"/>
  <c r="AH2" i="38"/>
  <c r="AH2" i="58"/>
  <c r="AI2" i="38"/>
  <c r="AI2" i="58"/>
  <c r="AJ2" i="38"/>
  <c r="AJ2" i="58"/>
  <c r="AS2" i="38"/>
  <c r="AS2" i="58"/>
  <c r="AG2" i="38"/>
  <c r="AG2" i="58"/>
  <c r="AK2" i="38"/>
  <c r="AK2" i="58"/>
  <c r="E118" i="44"/>
  <c r="D154" i="44" s="1"/>
  <c r="E113" i="42"/>
  <c r="D153" i="42" s="1"/>
  <c r="BE2" i="38"/>
  <c r="AA2" i="38"/>
  <c r="D139" i="40"/>
  <c r="C196" i="40" s="1"/>
  <c r="E44" i="53"/>
  <c r="Y6" i="38"/>
  <c r="E45" i="53"/>
  <c r="Z6" i="38"/>
  <c r="E44" i="52"/>
  <c r="Y5" i="38"/>
  <c r="E45" i="51"/>
  <c r="Z4" i="38"/>
  <c r="E44" i="51"/>
  <c r="Y4" i="38"/>
  <c r="E45" i="37"/>
  <c r="Z2" i="38"/>
  <c r="E10" i="51"/>
  <c r="E44" i="50"/>
  <c r="Y3" i="38"/>
  <c r="E45" i="50"/>
  <c r="Z3" i="38"/>
  <c r="E44" i="37"/>
  <c r="Y2" i="38"/>
  <c r="C90" i="45"/>
  <c r="J2" i="38"/>
  <c r="C90" i="49"/>
  <c r="J6" i="38"/>
  <c r="AA5" i="38"/>
  <c r="E10" i="53"/>
  <c r="E10" i="50"/>
  <c r="C3" i="38"/>
  <c r="E10" i="37"/>
  <c r="C2" i="38"/>
  <c r="E10" i="52"/>
  <c r="BI5" i="38"/>
  <c r="E46" i="51"/>
  <c r="BI4" i="38"/>
  <c r="F27" i="48"/>
  <c r="M5" i="38"/>
  <c r="BI3" i="38"/>
  <c r="BI6" i="38"/>
  <c r="C94" i="47"/>
  <c r="C94" i="46"/>
  <c r="D35" i="44"/>
  <c r="I45" i="43"/>
  <c r="D35" i="43"/>
  <c r="D35" i="42"/>
  <c r="E118" i="41"/>
  <c r="D154" i="41" s="1"/>
  <c r="D35" i="41"/>
  <c r="F27" i="49"/>
  <c r="E23" i="52"/>
  <c r="E32" i="52" s="1"/>
  <c r="C89" i="48"/>
  <c r="C93" i="47"/>
  <c r="C94" i="49"/>
  <c r="C94" i="45"/>
  <c r="C94" i="48"/>
  <c r="E32" i="54"/>
  <c r="E23" i="53"/>
  <c r="E32" i="53" s="1"/>
  <c r="E76" i="53"/>
  <c r="E76" i="52"/>
  <c r="E23" i="51"/>
  <c r="E76" i="51"/>
  <c r="E23" i="50"/>
  <c r="E76" i="50"/>
  <c r="I27" i="48"/>
  <c r="F62" i="44"/>
  <c r="E35" i="44"/>
  <c r="D139" i="44"/>
  <c r="C196" i="44" s="1"/>
  <c r="E176" i="44" s="1"/>
  <c r="I27" i="49"/>
  <c r="E113" i="44"/>
  <c r="D153" i="44" s="1"/>
  <c r="F53" i="44"/>
  <c r="I45" i="44"/>
  <c r="F45" i="44"/>
  <c r="I37" i="44"/>
  <c r="F37" i="44"/>
  <c r="C89" i="49"/>
  <c r="C91" i="49"/>
  <c r="C92" i="49"/>
  <c r="C93" i="49"/>
  <c r="F62" i="43"/>
  <c r="D139" i="43"/>
  <c r="C196" i="43" s="1"/>
  <c r="E176" i="43" s="1"/>
  <c r="E113" i="43"/>
  <c r="D153" i="43" s="1"/>
  <c r="F53" i="43"/>
  <c r="E35" i="43"/>
  <c r="F45" i="43"/>
  <c r="I37" i="43"/>
  <c r="F37" i="43"/>
  <c r="E35" i="42"/>
  <c r="D139" i="42"/>
  <c r="C196" i="42" s="1"/>
  <c r="E176" i="42" s="1"/>
  <c r="C90" i="48"/>
  <c r="C91" i="48"/>
  <c r="C92" i="48"/>
  <c r="C93" i="48"/>
  <c r="I27" i="47"/>
  <c r="F27" i="47"/>
  <c r="F62" i="42"/>
  <c r="F53" i="42"/>
  <c r="F45" i="42"/>
  <c r="I45" i="42"/>
  <c r="F37" i="42"/>
  <c r="I37" i="42"/>
  <c r="C89" i="47"/>
  <c r="C90" i="47"/>
  <c r="C91" i="47"/>
  <c r="C92" i="47"/>
  <c r="E113" i="41"/>
  <c r="D153" i="41" s="1"/>
  <c r="F62" i="41"/>
  <c r="F45" i="41"/>
  <c r="D139" i="41"/>
  <c r="C196" i="41" s="1"/>
  <c r="E176" i="41" s="1"/>
  <c r="I27" i="46"/>
  <c r="F27" i="46"/>
  <c r="F53" i="41"/>
  <c r="I45" i="41"/>
  <c r="E35" i="41"/>
  <c r="I37" i="41"/>
  <c r="F37" i="41"/>
  <c r="C89" i="46"/>
  <c r="C90" i="46"/>
  <c r="C91" i="46"/>
  <c r="C92" i="46"/>
  <c r="C93" i="46"/>
  <c r="F27" i="45"/>
  <c r="I27" i="45"/>
  <c r="C89" i="45"/>
  <c r="C91" i="45"/>
  <c r="C92" i="45"/>
  <c r="C93" i="45"/>
  <c r="D23" i="18"/>
  <c r="C17" i="19"/>
  <c r="B168" i="40"/>
  <c r="B164" i="40"/>
  <c r="E47" i="52" l="1"/>
  <c r="BM5" i="38" s="1"/>
  <c r="E47" i="53"/>
  <c r="BM6" i="38" s="1"/>
  <c r="E47" i="50"/>
  <c r="E47" i="51"/>
  <c r="D17" i="19"/>
  <c r="E193" i="41"/>
  <c r="E193" i="42"/>
  <c r="F35" i="44"/>
  <c r="E193" i="44"/>
  <c r="E193" i="43"/>
  <c r="E153" i="34"/>
  <c r="E26" i="52"/>
  <c r="E26" i="53"/>
  <c r="E32" i="51"/>
  <c r="E32" i="50"/>
  <c r="D186" i="44"/>
  <c r="D134" i="44"/>
  <c r="D141" i="44" s="1"/>
  <c r="F35" i="43"/>
  <c r="F35" i="42"/>
  <c r="F35" i="41"/>
  <c r="E193" i="40"/>
  <c r="E176" i="40"/>
  <c r="BC5" i="58"/>
  <c r="D134" i="43"/>
  <c r="D141" i="43" s="1"/>
  <c r="D186" i="43"/>
  <c r="BC4" i="58"/>
  <c r="D186" i="42"/>
  <c r="BC3" i="58"/>
  <c r="C141" i="6"/>
  <c r="C140" i="6"/>
  <c r="D140" i="6" s="1"/>
  <c r="C139" i="6"/>
  <c r="D139" i="6" s="1"/>
  <c r="C138" i="6"/>
  <c r="D138" i="6" s="1"/>
  <c r="C119" i="6"/>
  <c r="C118" i="6"/>
  <c r="D118" i="6" s="1"/>
  <c r="C117" i="6"/>
  <c r="D117" i="6" s="1"/>
  <c r="C116" i="6"/>
  <c r="D116" i="6" s="1"/>
  <c r="C97" i="6"/>
  <c r="C96" i="6"/>
  <c r="D96" i="6" s="1"/>
  <c r="C95" i="6"/>
  <c r="D95" i="6" s="1"/>
  <c r="C94" i="6"/>
  <c r="D94" i="6" s="1"/>
  <c r="C75" i="6"/>
  <c r="C74" i="6"/>
  <c r="D74" i="6" s="1"/>
  <c r="C73" i="6"/>
  <c r="D73" i="6" s="1"/>
  <c r="C72" i="6"/>
  <c r="D72" i="6" s="1"/>
  <c r="E121" i="40"/>
  <c r="E120" i="40"/>
  <c r="E119" i="40"/>
  <c r="D118" i="40"/>
  <c r="E116" i="40"/>
  <c r="E115" i="40"/>
  <c r="E114" i="40"/>
  <c r="D113" i="40"/>
  <c r="F104" i="40"/>
  <c r="D103" i="40"/>
  <c r="D80" i="40"/>
  <c r="D76" i="40"/>
  <c r="D71" i="40"/>
  <c r="I69" i="40"/>
  <c r="F69" i="40"/>
  <c r="I68" i="40"/>
  <c r="F68" i="40"/>
  <c r="I67" i="40"/>
  <c r="F67" i="40"/>
  <c r="I66" i="40"/>
  <c r="F66" i="40"/>
  <c r="I65" i="40"/>
  <c r="F65" i="40"/>
  <c r="I64" i="40"/>
  <c r="F64" i="40"/>
  <c r="I63" i="40"/>
  <c r="F63" i="40"/>
  <c r="E62" i="40"/>
  <c r="D62" i="40"/>
  <c r="I60" i="40"/>
  <c r="F60" i="40"/>
  <c r="I59" i="40"/>
  <c r="F59" i="40"/>
  <c r="I58" i="40"/>
  <c r="F58" i="40"/>
  <c r="I57" i="40"/>
  <c r="F57" i="40"/>
  <c r="I56" i="40"/>
  <c r="F56" i="40"/>
  <c r="I55" i="40"/>
  <c r="F55" i="40"/>
  <c r="I54" i="40"/>
  <c r="F54" i="40"/>
  <c r="E53" i="40"/>
  <c r="I52" i="40"/>
  <c r="F52" i="40"/>
  <c r="I51" i="40"/>
  <c r="F51" i="40"/>
  <c r="I50" i="40"/>
  <c r="F50" i="40"/>
  <c r="I49" i="40"/>
  <c r="F49" i="40"/>
  <c r="I48" i="40"/>
  <c r="F48" i="40"/>
  <c r="F47" i="40"/>
  <c r="I46" i="40"/>
  <c r="F46" i="40"/>
  <c r="E45" i="40"/>
  <c r="D45" i="40"/>
  <c r="I44" i="40"/>
  <c r="F44" i="40"/>
  <c r="I43" i="40"/>
  <c r="F43" i="40"/>
  <c r="I42" i="40"/>
  <c r="F42" i="40"/>
  <c r="I41" i="40"/>
  <c r="F41" i="40"/>
  <c r="I40" i="40"/>
  <c r="F40" i="40"/>
  <c r="F39" i="40"/>
  <c r="I38" i="40"/>
  <c r="F38" i="40"/>
  <c r="E37" i="40"/>
  <c r="D37" i="40"/>
  <c r="H29" i="40"/>
  <c r="F29" i="40"/>
  <c r="H28" i="40"/>
  <c r="F28" i="40"/>
  <c r="F27" i="40"/>
  <c r="F26" i="40"/>
  <c r="E23" i="40"/>
  <c r="F22" i="40"/>
  <c r="H21" i="40"/>
  <c r="F21" i="40"/>
  <c r="H20" i="40"/>
  <c r="F20" i="40"/>
  <c r="L2" i="45"/>
  <c r="L1" i="40"/>
  <c r="B1" i="40"/>
  <c r="B4" i="19"/>
  <c r="B3" i="25"/>
  <c r="B4" i="35"/>
  <c r="B2" i="18"/>
  <c r="B1" i="17"/>
  <c r="B1" i="34"/>
  <c r="B1" i="6"/>
  <c r="F48" i="36"/>
  <c r="AG9" i="58" s="1"/>
  <c r="F48" i="18"/>
  <c r="F40" i="18"/>
  <c r="F65" i="18"/>
  <c r="F66" i="18"/>
  <c r="F67" i="18"/>
  <c r="F68" i="18"/>
  <c r="F69" i="18"/>
  <c r="F70" i="18"/>
  <c r="F64" i="18"/>
  <c r="F26" i="36"/>
  <c r="R9" i="58" s="1"/>
  <c r="F25" i="36"/>
  <c r="Q9" i="58" s="1"/>
  <c r="F24" i="36"/>
  <c r="P9" i="58" s="1"/>
  <c r="F23" i="36"/>
  <c r="O9" i="58" s="1"/>
  <c r="F22" i="36"/>
  <c r="N9" i="58" s="1"/>
  <c r="F21" i="36"/>
  <c r="M9" i="58" s="1"/>
  <c r="D26" i="35"/>
  <c r="F64" i="36"/>
  <c r="AS9" i="58" s="1"/>
  <c r="BM5" i="58" l="1"/>
  <c r="E53" i="52"/>
  <c r="BH3" i="38"/>
  <c r="BH3" i="58"/>
  <c r="BH4" i="38"/>
  <c r="BH4" i="58"/>
  <c r="E53" i="53"/>
  <c r="BM6" i="58"/>
  <c r="E53" i="51"/>
  <c r="BM4" i="58"/>
  <c r="BM3" i="38"/>
  <c r="BM3" i="58"/>
  <c r="E113" i="40"/>
  <c r="D153" i="40" s="1"/>
  <c r="E53" i="50"/>
  <c r="BM4" i="38"/>
  <c r="E118" i="40"/>
  <c r="D154" i="40" s="1"/>
  <c r="E26" i="50"/>
  <c r="D134" i="42"/>
  <c r="D141" i="42" s="1"/>
  <c r="E58" i="50"/>
  <c r="BC3" i="38"/>
  <c r="E26" i="51"/>
  <c r="E58" i="51"/>
  <c r="BC4" i="38"/>
  <c r="E58" i="52"/>
  <c r="BC5" i="38"/>
  <c r="F53" i="40"/>
  <c r="D35" i="40"/>
  <c r="E39" i="53"/>
  <c r="BC6" i="58"/>
  <c r="D141" i="6"/>
  <c r="F62" i="40"/>
  <c r="F45" i="40"/>
  <c r="I45" i="40"/>
  <c r="E35" i="40"/>
  <c r="I37" i="40"/>
  <c r="F37" i="40"/>
  <c r="D119" i="6"/>
  <c r="B192" i="44"/>
  <c r="D97" i="6"/>
  <c r="D75" i="6"/>
  <c r="E39" i="50"/>
  <c r="F41" i="36"/>
  <c r="AB9" i="58" s="1"/>
  <c r="F42" i="18"/>
  <c r="F35" i="40" l="1"/>
  <c r="E58" i="53"/>
  <c r="BC6" i="38"/>
  <c r="B192" i="43"/>
  <c r="E39" i="52"/>
  <c r="B192" i="42"/>
  <c r="E39" i="51"/>
  <c r="F63" i="36"/>
  <c r="AR9" i="58" s="1"/>
  <c r="F49" i="36"/>
  <c r="AH9" i="58" s="1"/>
  <c r="A3" i="29"/>
  <c r="A1" i="29"/>
  <c r="I55" i="18"/>
  <c r="I56" i="18"/>
  <c r="I57" i="18"/>
  <c r="I58" i="18"/>
  <c r="I59" i="18"/>
  <c r="I60" i="18"/>
  <c r="F59" i="18"/>
  <c r="F58" i="18"/>
  <c r="F50" i="18"/>
  <c r="I53" i="18"/>
  <c r="I52" i="18"/>
  <c r="I51" i="18"/>
  <c r="I50" i="18"/>
  <c r="I49" i="18"/>
  <c r="I47" i="18"/>
  <c r="I42" i="18"/>
  <c r="F43" i="36"/>
  <c r="AD9" i="58" s="1"/>
  <c r="H30" i="18" l="1"/>
  <c r="H29" i="18"/>
  <c r="F57" i="18" l="1"/>
  <c r="L1" i="36" l="1"/>
  <c r="F11" i="36"/>
  <c r="E9" i="58" s="1"/>
  <c r="F44" i="36"/>
  <c r="AE9" i="58" s="1"/>
  <c r="F18" i="36"/>
  <c r="L9" i="58" s="1"/>
  <c r="C21" i="16"/>
  <c r="F9" i="36"/>
  <c r="C9" i="58" s="1"/>
  <c r="C82" i="36"/>
  <c r="G9" i="58" s="1"/>
  <c r="E10" i="54" l="1"/>
  <c r="F32" i="36"/>
  <c r="Y9" i="58" s="1"/>
  <c r="E44" i="54" l="1"/>
  <c r="F60" i="18"/>
  <c r="E25" i="37" l="1"/>
  <c r="E22" i="37"/>
  <c r="E21" i="37"/>
  <c r="BF2" i="58" s="1"/>
  <c r="C88" i="36"/>
  <c r="F10" i="36"/>
  <c r="D9" i="58" s="1"/>
  <c r="F8" i="36"/>
  <c r="F96" i="36"/>
  <c r="K9" i="58" s="1"/>
  <c r="C96" i="36"/>
  <c r="I82" i="36"/>
  <c r="I9" i="58" s="1"/>
  <c r="F82" i="36"/>
  <c r="H9" i="58" s="1"/>
  <c r="F33" i="36"/>
  <c r="I26" i="36"/>
  <c r="X9" i="58" s="1"/>
  <c r="I25" i="36"/>
  <c r="W9" i="58" s="1"/>
  <c r="I24" i="36"/>
  <c r="V9" i="58" s="1"/>
  <c r="I23" i="36"/>
  <c r="U9" i="58" s="1"/>
  <c r="I22" i="36"/>
  <c r="T9" i="58" s="1"/>
  <c r="I21" i="36"/>
  <c r="S9" i="58" s="1"/>
  <c r="F60" i="36"/>
  <c r="AQ9" i="58" s="1"/>
  <c r="F59" i="36"/>
  <c r="AP9" i="58" s="1"/>
  <c r="F57" i="36"/>
  <c r="AN9" i="58" s="1"/>
  <c r="C20" i="16"/>
  <c r="D54" i="18"/>
  <c r="F56" i="18"/>
  <c r="F55" i="18"/>
  <c r="F53" i="18"/>
  <c r="F52" i="18"/>
  <c r="F51" i="18"/>
  <c r="F49" i="18"/>
  <c r="F47" i="18"/>
  <c r="F44" i="18"/>
  <c r="F45" i="18"/>
  <c r="E54" i="18"/>
  <c r="F50" i="36"/>
  <c r="AI9" i="58" s="1"/>
  <c r="F51" i="36"/>
  <c r="AJ9" i="58" s="1"/>
  <c r="F52" i="36"/>
  <c r="AK9" i="58" s="1"/>
  <c r="F42" i="36"/>
  <c r="AC9" i="58" s="1"/>
  <c r="I45" i="18"/>
  <c r="I44" i="18"/>
  <c r="E46" i="18"/>
  <c r="D46" i="18"/>
  <c r="F39" i="18"/>
  <c r="F41" i="18"/>
  <c r="F43" i="18"/>
  <c r="D38" i="18"/>
  <c r="C76" i="37"/>
  <c r="H22" i="18"/>
  <c r="H21" i="18"/>
  <c r="F105" i="18"/>
  <c r="I65" i="18"/>
  <c r="I66" i="18"/>
  <c r="I67" i="18"/>
  <c r="I68" i="18"/>
  <c r="I69" i="18"/>
  <c r="I70" i="18"/>
  <c r="I64" i="18"/>
  <c r="I61" i="18"/>
  <c r="BG2" i="38" l="1"/>
  <c r="BG2" i="58"/>
  <c r="BI2" i="38"/>
  <c r="BI2" i="58"/>
  <c r="C92" i="36"/>
  <c r="J9" i="58"/>
  <c r="E45" i="54"/>
  <c r="E47" i="54" s="1"/>
  <c r="BM9" i="58" s="1"/>
  <c r="Z9" i="58"/>
  <c r="BF2" i="38"/>
  <c r="E23" i="37"/>
  <c r="E32" i="37" s="1"/>
  <c r="I46" i="18"/>
  <c r="C93" i="36"/>
  <c r="E46" i="37"/>
  <c r="E47" i="37" s="1"/>
  <c r="C91" i="36"/>
  <c r="C94" i="36"/>
  <c r="E76" i="37"/>
  <c r="C90" i="36"/>
  <c r="C89" i="36"/>
  <c r="I27" i="36"/>
  <c r="F27" i="36"/>
  <c r="D36" i="18"/>
  <c r="F46" i="18"/>
  <c r="F38" i="18"/>
  <c r="I43" i="18"/>
  <c r="E53" i="54" l="1"/>
  <c r="BM2" i="38"/>
  <c r="BM2" i="58"/>
  <c r="E53" i="37"/>
  <c r="I41" i="18"/>
  <c r="E38" i="18" l="1"/>
  <c r="E36" i="18" s="1"/>
  <c r="I39" i="18"/>
  <c r="E133" i="34"/>
  <c r="G133" i="34"/>
  <c r="H133" i="34" s="1"/>
  <c r="E144" i="34"/>
  <c r="G40" i="34"/>
  <c r="I38" i="18" l="1"/>
  <c r="C52" i="6"/>
  <c r="F144" i="34"/>
  <c r="D52" i="6" l="1"/>
  <c r="D23" i="35" s="1"/>
  <c r="F20" i="35" l="1"/>
  <c r="F23" i="35"/>
  <c r="F56" i="36"/>
  <c r="AM9" i="58" s="1"/>
  <c r="I78" i="34"/>
  <c r="F39" i="34" l="1"/>
  <c r="C21" i="19"/>
  <c r="E21" i="19"/>
  <c r="D29" i="17"/>
  <c r="D21" i="19" l="1"/>
  <c r="F21" i="19"/>
  <c r="F38" i="34"/>
  <c r="F37" i="34"/>
  <c r="F40" i="34" l="1"/>
  <c r="C19" i="19"/>
  <c r="D40" i="34"/>
  <c r="D33" i="35"/>
  <c r="C104" i="35"/>
  <c r="D19" i="19" l="1"/>
  <c r="E19" i="19" s="1"/>
  <c r="C18" i="19"/>
  <c r="E17" i="19"/>
  <c r="L2" i="18" l="1"/>
  <c r="E121" i="18"/>
  <c r="E122" i="18"/>
  <c r="E120" i="18"/>
  <c r="E116" i="18"/>
  <c r="E117" i="18"/>
  <c r="E115" i="18"/>
  <c r="D104" i="18"/>
  <c r="F22" i="18" l="1"/>
  <c r="D15" i="35"/>
  <c r="D13" i="35"/>
  <c r="D14" i="35"/>
  <c r="D112" i="18"/>
  <c r="C103" i="34"/>
  <c r="C107" i="34" s="1"/>
  <c r="C90" i="35"/>
  <c r="C91" i="35"/>
  <c r="C89" i="35"/>
  <c r="C109" i="34" l="1"/>
  <c r="D16" i="35"/>
  <c r="C92" i="35"/>
  <c r="C105" i="35"/>
  <c r="C106" i="35"/>
  <c r="H1" i="19"/>
  <c r="C98" i="35"/>
  <c r="C96" i="35"/>
  <c r="H39" i="34"/>
  <c r="I39" i="34" s="1"/>
  <c r="H38" i="34"/>
  <c r="I38" i="34" s="1"/>
  <c r="E25" i="18"/>
  <c r="J1" i="25"/>
  <c r="H1" i="34"/>
  <c r="H37" i="34"/>
  <c r="I37" i="34" s="1"/>
  <c r="D111" i="18"/>
  <c r="D28" i="18"/>
  <c r="F27" i="18"/>
  <c r="E28" i="18"/>
  <c r="I108" i="34"/>
  <c r="D120" i="34" s="1"/>
  <c r="C120" i="34" l="1"/>
  <c r="F120" i="34"/>
  <c r="G120" i="34"/>
  <c r="H120" i="34"/>
  <c r="E120" i="34"/>
  <c r="E112" i="18"/>
  <c r="F112" i="18" s="1"/>
  <c r="C73" i="35"/>
  <c r="C95" i="35"/>
  <c r="C97" i="35" s="1"/>
  <c r="F28" i="18"/>
  <c r="E114" i="18"/>
  <c r="C111" i="34"/>
  <c r="I40" i="34" l="1"/>
  <c r="E70" i="35"/>
  <c r="D96" i="35"/>
  <c r="C99" i="35"/>
  <c r="D98" i="35"/>
  <c r="C15" i="19" l="1"/>
  <c r="I110" i="34"/>
  <c r="D121" i="34" s="1"/>
  <c r="D122" i="34" s="1"/>
  <c r="C107" i="35"/>
  <c r="C36" i="25"/>
  <c r="F111" i="18"/>
  <c r="E111" i="18"/>
  <c r="E53" i="35"/>
  <c r="F53" i="35" s="1"/>
  <c r="E25" i="40" l="1"/>
  <c r="F25" i="40" s="1"/>
  <c r="F121" i="34"/>
  <c r="F122" i="34" s="1"/>
  <c r="G121" i="34"/>
  <c r="G122" i="34" s="1"/>
  <c r="H121" i="34"/>
  <c r="H122" i="34" s="1"/>
  <c r="E121" i="34"/>
  <c r="E122" i="34" s="1"/>
  <c r="C121" i="34"/>
  <c r="D25" i="35" s="1"/>
  <c r="E20" i="6"/>
  <c r="D9" i="35" s="1"/>
  <c r="E111" i="40" l="1"/>
  <c r="E110" i="40" s="1"/>
  <c r="D110" i="40"/>
  <c r="D123" i="40" s="1"/>
  <c r="D38" i="35"/>
  <c r="D132" i="40"/>
  <c r="D161" i="40"/>
  <c r="D134" i="41"/>
  <c r="D141" i="41" s="1"/>
  <c r="C122" i="34"/>
  <c r="F111" i="40" l="1"/>
  <c r="F110" i="40" s="1"/>
  <c r="E25" i="43"/>
  <c r="F25" i="43" s="1"/>
  <c r="F30" i="43" s="1"/>
  <c r="E111" i="42"/>
  <c r="E110" i="42" s="1"/>
  <c r="D110" i="42"/>
  <c r="D123" i="42" s="1"/>
  <c r="E25" i="42"/>
  <c r="F25" i="42" s="1"/>
  <c r="F30" i="42" s="1"/>
  <c r="E25" i="44"/>
  <c r="F25" i="44" s="1"/>
  <c r="F30" i="44" s="1"/>
  <c r="E111" i="44"/>
  <c r="E110" i="44" s="1"/>
  <c r="D110" i="44"/>
  <c r="D123" i="44" s="1"/>
  <c r="E111" i="41"/>
  <c r="E110" i="41" s="1"/>
  <c r="D110" i="41"/>
  <c r="D123" i="41" s="1"/>
  <c r="E25" i="41"/>
  <c r="F25" i="41" s="1"/>
  <c r="F30" i="41" s="1"/>
  <c r="E111" i="43"/>
  <c r="E110" i="43" s="1"/>
  <c r="D110" i="43"/>
  <c r="D123" i="43" s="1"/>
  <c r="D11" i="35"/>
  <c r="D18" i="35" s="1"/>
  <c r="D133" i="40"/>
  <c r="D134" i="40" s="1"/>
  <c r="D141" i="40" s="1"/>
  <c r="E24" i="37"/>
  <c r="D186" i="41"/>
  <c r="D186" i="40"/>
  <c r="D24" i="35"/>
  <c r="C108" i="35"/>
  <c r="E104" i="35" s="1"/>
  <c r="D63" i="35"/>
  <c r="H40" i="34"/>
  <c r="E40" i="34"/>
  <c r="F24" i="40" s="1"/>
  <c r="E26" i="54" l="1"/>
  <c r="BH9" i="58"/>
  <c r="BH2" i="38"/>
  <c r="BH2" i="58"/>
  <c r="F111" i="44"/>
  <c r="F110" i="44" s="1"/>
  <c r="F111" i="42"/>
  <c r="F110" i="42" s="1"/>
  <c r="F111" i="41"/>
  <c r="F110" i="41" s="1"/>
  <c r="F111" i="43"/>
  <c r="F110" i="43" s="1"/>
  <c r="E26" i="37"/>
  <c r="E41" i="34"/>
  <c r="G41" i="34"/>
  <c r="J40" i="34"/>
  <c r="D18" i="19"/>
  <c r="E18" i="19" s="1"/>
  <c r="D25" i="18"/>
  <c r="F25" i="18" s="1"/>
  <c r="I1" i="17" l="1"/>
  <c r="K1" i="6"/>
  <c r="D16" i="17" l="1"/>
  <c r="B3" i="17" l="1"/>
  <c r="F22" i="25" l="1"/>
  <c r="D22" i="25"/>
  <c r="H21" i="25"/>
  <c r="G21" i="25"/>
  <c r="G19" i="25"/>
  <c r="G18" i="25"/>
  <c r="G17" i="25"/>
  <c r="G16" i="25"/>
  <c r="G15" i="25"/>
  <c r="G14" i="25"/>
  <c r="G13" i="25"/>
  <c r="G12" i="25"/>
  <c r="H13" i="25" l="1"/>
  <c r="H14" i="25"/>
  <c r="H12" i="25"/>
  <c r="H18" i="25"/>
  <c r="H17" i="25"/>
  <c r="H16" i="25"/>
  <c r="H19" i="25"/>
  <c r="H15" i="25"/>
  <c r="C22" i="25"/>
  <c r="F30" i="18" l="1"/>
  <c r="F29" i="18"/>
  <c r="F21" i="18"/>
  <c r="E24" i="18" l="1"/>
  <c r="F23" i="18"/>
  <c r="D81" i="18"/>
  <c r="D77" i="18"/>
  <c r="D72" i="18"/>
  <c r="E63" i="18"/>
  <c r="D63" i="18"/>
  <c r="F61" i="18"/>
  <c r="F54" i="18" s="1"/>
  <c r="F36" i="18" s="1"/>
  <c r="D36" i="17"/>
  <c r="D12" i="17"/>
  <c r="D20" i="17" s="1"/>
  <c r="E119" i="18" l="1"/>
  <c r="D31" i="35" s="1"/>
  <c r="D114" i="18"/>
  <c r="D30" i="35" s="1"/>
  <c r="D119" i="18"/>
  <c r="F63" i="18"/>
  <c r="E22" i="6"/>
  <c r="C13" i="19" s="1"/>
  <c r="D124" i="18" l="1"/>
  <c r="E24" i="6"/>
  <c r="C50" i="6"/>
  <c r="C51" i="6"/>
  <c r="C53" i="6"/>
  <c r="E81" i="40" s="1"/>
  <c r="E58" i="35" l="1"/>
  <c r="D69" i="35" s="1"/>
  <c r="E39" i="54" s="1"/>
  <c r="E15" i="54"/>
  <c r="BC9" i="58" s="1"/>
  <c r="C16" i="19"/>
  <c r="Q18" i="29"/>
  <c r="C8" i="29"/>
  <c r="L8" i="29" s="1"/>
  <c r="Q8" i="29" s="1"/>
  <c r="F90" i="44"/>
  <c r="F101" i="43"/>
  <c r="F92" i="42"/>
  <c r="F108" i="41"/>
  <c r="F85" i="41"/>
  <c r="F100" i="43"/>
  <c r="F78" i="43"/>
  <c r="F91" i="42"/>
  <c r="F107" i="41"/>
  <c r="F84" i="41"/>
  <c r="F68" i="46"/>
  <c r="F93" i="44"/>
  <c r="F107" i="43"/>
  <c r="F93" i="42"/>
  <c r="F88" i="44"/>
  <c r="F99" i="43"/>
  <c r="F90" i="42"/>
  <c r="D151" i="41"/>
  <c r="D150" i="41"/>
  <c r="F87" i="44"/>
  <c r="F74" i="43"/>
  <c r="F58" i="46"/>
  <c r="F93" i="41"/>
  <c r="F88" i="41"/>
  <c r="F86" i="44"/>
  <c r="F73" i="43"/>
  <c r="F88" i="42"/>
  <c r="F101" i="41"/>
  <c r="F85" i="44"/>
  <c r="F96" i="43"/>
  <c r="F87" i="42"/>
  <c r="F100" i="41"/>
  <c r="F78" i="41"/>
  <c r="F94" i="41"/>
  <c r="F100" i="42"/>
  <c r="F107" i="44"/>
  <c r="F95" i="43"/>
  <c r="F86" i="42"/>
  <c r="F99" i="41"/>
  <c r="F93" i="43"/>
  <c r="D152" i="41"/>
  <c r="F73" i="41"/>
  <c r="F100" i="44"/>
  <c r="F90" i="43"/>
  <c r="F94" i="43"/>
  <c r="F108" i="42"/>
  <c r="F85" i="42"/>
  <c r="F32" i="56"/>
  <c r="F107" i="42"/>
  <c r="F78" i="44"/>
  <c r="F95" i="41"/>
  <c r="F101" i="42"/>
  <c r="F73" i="42"/>
  <c r="F94" i="44"/>
  <c r="F96" i="42"/>
  <c r="F96" i="41"/>
  <c r="F74" i="44"/>
  <c r="F78" i="42"/>
  <c r="F101" i="44"/>
  <c r="F92" i="43"/>
  <c r="F91" i="43"/>
  <c r="F95" i="42"/>
  <c r="F99" i="44"/>
  <c r="F85" i="43"/>
  <c r="F86" i="41"/>
  <c r="F73" i="44"/>
  <c r="F88" i="43"/>
  <c r="F99" i="42"/>
  <c r="F92" i="41"/>
  <c r="F87" i="43"/>
  <c r="F74" i="42"/>
  <c r="F91" i="41"/>
  <c r="F95" i="44"/>
  <c r="F90" i="41"/>
  <c r="F96" i="44"/>
  <c r="F86" i="43"/>
  <c r="F92" i="44"/>
  <c r="F94" i="42"/>
  <c r="F87" i="41"/>
  <c r="F91" i="44"/>
  <c r="E72" i="40"/>
  <c r="E73" i="40"/>
  <c r="E15" i="37"/>
  <c r="E181" i="40"/>
  <c r="E39" i="37" s="1"/>
  <c r="E86" i="40"/>
  <c r="E83" i="40"/>
  <c r="E96" i="40"/>
  <c r="E87" i="40"/>
  <c r="E101" i="40"/>
  <c r="E85" i="40"/>
  <c r="E100" i="40"/>
  <c r="E84" i="40"/>
  <c r="E99" i="40"/>
  <c r="E98" i="40"/>
  <c r="E32" i="56" s="1"/>
  <c r="E82" i="40"/>
  <c r="E91" i="40"/>
  <c r="E105" i="40"/>
  <c r="E97" i="40"/>
  <c r="E95" i="40"/>
  <c r="E78" i="40"/>
  <c r="E94" i="40"/>
  <c r="E77" i="40"/>
  <c r="E107" i="40"/>
  <c r="E93" i="40"/>
  <c r="E92" i="40"/>
  <c r="E74" i="40"/>
  <c r="E90" i="40"/>
  <c r="E108" i="40"/>
  <c r="E88" i="40"/>
  <c r="E106" i="40"/>
  <c r="E89" i="40"/>
  <c r="B34" i="34"/>
  <c r="BC2" i="38" l="1"/>
  <c r="BC2" i="58"/>
  <c r="AW3" i="38"/>
  <c r="AW3" i="58"/>
  <c r="AO3" i="38"/>
  <c r="AO3" i="58"/>
  <c r="F65" i="45"/>
  <c r="F108" i="44"/>
  <c r="F71" i="49"/>
  <c r="F108" i="43"/>
  <c r="F71" i="48"/>
  <c r="E58" i="37"/>
  <c r="F98" i="41"/>
  <c r="F66" i="46"/>
  <c r="E73" i="18"/>
  <c r="F73" i="18" s="1"/>
  <c r="E75" i="18"/>
  <c r="F75" i="18" s="1"/>
  <c r="E98" i="18"/>
  <c r="D29" i="35" s="1"/>
  <c r="E107" i="18"/>
  <c r="F107" i="18" s="1"/>
  <c r="F106" i="41"/>
  <c r="F81" i="41"/>
  <c r="F72" i="41"/>
  <c r="D152" i="42"/>
  <c r="F97" i="42"/>
  <c r="F98" i="42"/>
  <c r="G32" i="56"/>
  <c r="E106" i="18"/>
  <c r="F89" i="42"/>
  <c r="F69" i="47"/>
  <c r="AX4" i="58" s="1"/>
  <c r="E74" i="18"/>
  <c r="F65" i="46"/>
  <c r="F105" i="42"/>
  <c r="E103" i="42"/>
  <c r="F68" i="47"/>
  <c r="AW4" i="58" s="1"/>
  <c r="E71" i="43"/>
  <c r="F72" i="43"/>
  <c r="F71" i="43" s="1"/>
  <c r="F65" i="48"/>
  <c r="AT5" i="58" s="1"/>
  <c r="F98" i="43"/>
  <c r="H32" i="56"/>
  <c r="F71" i="46"/>
  <c r="E83" i="18"/>
  <c r="F67" i="46"/>
  <c r="F72" i="44"/>
  <c r="F71" i="44" s="1"/>
  <c r="E71" i="44"/>
  <c r="F65" i="49"/>
  <c r="AT6" i="58" s="1"/>
  <c r="D150" i="42"/>
  <c r="F83" i="42"/>
  <c r="E80" i="44"/>
  <c r="F81" i="44"/>
  <c r="F66" i="49"/>
  <c r="AU6" i="58" s="1"/>
  <c r="F106" i="42"/>
  <c r="D151" i="42"/>
  <c r="E85" i="18"/>
  <c r="F85" i="18" s="1"/>
  <c r="F58" i="48"/>
  <c r="AO5" i="58" s="1"/>
  <c r="F82" i="43"/>
  <c r="D157" i="41"/>
  <c r="E90" i="18"/>
  <c r="F82" i="44"/>
  <c r="F58" i="49"/>
  <c r="AO6" i="58" s="1"/>
  <c r="E82" i="18"/>
  <c r="F82" i="18" s="1"/>
  <c r="F68" i="48"/>
  <c r="AW5" i="58" s="1"/>
  <c r="F105" i="43"/>
  <c r="E103" i="43"/>
  <c r="F69" i="48"/>
  <c r="AX5" i="58" s="1"/>
  <c r="F89" i="43"/>
  <c r="F84" i="44"/>
  <c r="F69" i="49"/>
  <c r="AX6" i="58" s="1"/>
  <c r="F89" i="44"/>
  <c r="E76" i="43"/>
  <c r="F77" i="43"/>
  <c r="F76" i="43" s="1"/>
  <c r="F67" i="48"/>
  <c r="AV5" i="58" s="1"/>
  <c r="F98" i="44"/>
  <c r="I32" i="56"/>
  <c r="F67" i="47"/>
  <c r="AV4" i="58" s="1"/>
  <c r="F77" i="42"/>
  <c r="F76" i="42" s="1"/>
  <c r="E76" i="42"/>
  <c r="F84" i="43"/>
  <c r="D150" i="44"/>
  <c r="F83" i="44"/>
  <c r="D151" i="44"/>
  <c r="F106" i="44"/>
  <c r="D152" i="43"/>
  <c r="F97" i="43"/>
  <c r="F69" i="46"/>
  <c r="E84" i="18"/>
  <c r="D27" i="35" s="1"/>
  <c r="D150" i="43"/>
  <c r="F83" i="43"/>
  <c r="F67" i="49"/>
  <c r="AV6" i="58" s="1"/>
  <c r="E76" i="44"/>
  <c r="F77" i="44"/>
  <c r="F76" i="44" s="1"/>
  <c r="E80" i="43"/>
  <c r="F81" i="43"/>
  <c r="F66" i="48"/>
  <c r="AU5" i="58" s="1"/>
  <c r="E80" i="42"/>
  <c r="F81" i="42"/>
  <c r="F66" i="47"/>
  <c r="AU4" i="58" s="1"/>
  <c r="D151" i="43"/>
  <c r="F106" i="43"/>
  <c r="E78" i="18"/>
  <c r="F78" i="18" s="1"/>
  <c r="F84" i="42"/>
  <c r="F71" i="47"/>
  <c r="F97" i="44"/>
  <c r="D152" i="44"/>
  <c r="F97" i="41"/>
  <c r="F82" i="42"/>
  <c r="F58" i="47"/>
  <c r="AO4" i="58" s="1"/>
  <c r="F89" i="41"/>
  <c r="F82" i="41"/>
  <c r="F68" i="49"/>
  <c r="AW6" i="58" s="1"/>
  <c r="F105" i="44"/>
  <c r="E103" i="44"/>
  <c r="E71" i="42"/>
  <c r="F72" i="42"/>
  <c r="F71" i="42" s="1"/>
  <c r="F65" i="47"/>
  <c r="AT4" i="58" s="1"/>
  <c r="B69" i="35"/>
  <c r="F73" i="40"/>
  <c r="F98" i="40"/>
  <c r="E99" i="18"/>
  <c r="F99" i="18" s="1"/>
  <c r="F99" i="40"/>
  <c r="E100" i="18"/>
  <c r="F100" i="18" s="1"/>
  <c r="F100" i="40"/>
  <c r="E101" i="18"/>
  <c r="F101" i="18" s="1"/>
  <c r="F92" i="40"/>
  <c r="E93" i="18"/>
  <c r="F93" i="18" s="1"/>
  <c r="F93" i="40"/>
  <c r="E94" i="18"/>
  <c r="F94" i="18" s="1"/>
  <c r="F85" i="40"/>
  <c r="E86" i="18"/>
  <c r="F86" i="18" s="1"/>
  <c r="F107" i="40"/>
  <c r="E108" i="18"/>
  <c r="F101" i="40"/>
  <c r="E102" i="18"/>
  <c r="F102" i="18" s="1"/>
  <c r="F87" i="40"/>
  <c r="E88" i="18"/>
  <c r="F88" i="18" s="1"/>
  <c r="F91" i="40"/>
  <c r="E92" i="18"/>
  <c r="F92" i="18" s="1"/>
  <c r="F90" i="40"/>
  <c r="E91" i="18"/>
  <c r="F94" i="40"/>
  <c r="E95" i="18"/>
  <c r="F95" i="18" s="1"/>
  <c r="F96" i="40"/>
  <c r="E97" i="18"/>
  <c r="F97" i="18" s="1"/>
  <c r="F88" i="40"/>
  <c r="E89" i="18"/>
  <c r="F89" i="18" s="1"/>
  <c r="F108" i="40"/>
  <c r="E109" i="18"/>
  <c r="F78" i="40"/>
  <c r="E79" i="18"/>
  <c r="F79" i="18" s="1"/>
  <c r="F95" i="40"/>
  <c r="E96" i="18"/>
  <c r="F96" i="18" s="1"/>
  <c r="F86" i="40"/>
  <c r="E87" i="18"/>
  <c r="F87" i="18" s="1"/>
  <c r="E58" i="54"/>
  <c r="F68" i="45"/>
  <c r="F67" i="45"/>
  <c r="F66" i="45"/>
  <c r="F89" i="40"/>
  <c r="F69" i="45"/>
  <c r="F82" i="40"/>
  <c r="F58" i="45"/>
  <c r="AO2" i="58" s="1"/>
  <c r="F84" i="40"/>
  <c r="F74" i="40"/>
  <c r="F83" i="40"/>
  <c r="D150" i="40"/>
  <c r="F106" i="40"/>
  <c r="D151" i="40"/>
  <c r="F97" i="40"/>
  <c r="D152" i="40"/>
  <c r="F105" i="41"/>
  <c r="E103" i="41"/>
  <c r="E76" i="41"/>
  <c r="F77" i="41"/>
  <c r="F76" i="41" s="1"/>
  <c r="E71" i="41"/>
  <c r="F74" i="41"/>
  <c r="E80" i="41"/>
  <c r="F83" i="41"/>
  <c r="B192" i="40"/>
  <c r="B192" i="41"/>
  <c r="E103" i="40"/>
  <c r="F105" i="40"/>
  <c r="F72" i="40"/>
  <c r="E71" i="40"/>
  <c r="F81" i="40"/>
  <c r="E80" i="40"/>
  <c r="E76" i="40"/>
  <c r="F77" i="40"/>
  <c r="AZ6" i="38" l="1"/>
  <c r="AZ6" i="58"/>
  <c r="AZ5" i="38"/>
  <c r="AZ5" i="58"/>
  <c r="AZ4" i="38"/>
  <c r="AZ4" i="58"/>
  <c r="AZ3" i="38"/>
  <c r="AZ3" i="58"/>
  <c r="AU3" i="38"/>
  <c r="AU3" i="58"/>
  <c r="AT3" i="38"/>
  <c r="AT3" i="58"/>
  <c r="AV3" i="38"/>
  <c r="AV3" i="58"/>
  <c r="AX3" i="38"/>
  <c r="AX3" i="58"/>
  <c r="AX2" i="38"/>
  <c r="AX2" i="58"/>
  <c r="AU2" i="38"/>
  <c r="AU2" i="58"/>
  <c r="AW2" i="38"/>
  <c r="AW2" i="58"/>
  <c r="AV2" i="38"/>
  <c r="AV2" i="58"/>
  <c r="AT2" i="58"/>
  <c r="AT2" i="38"/>
  <c r="F65" i="36"/>
  <c r="AT9" i="58" s="1"/>
  <c r="F109" i="18"/>
  <c r="AO2" i="38"/>
  <c r="F98" i="18"/>
  <c r="F103" i="41"/>
  <c r="F71" i="41"/>
  <c r="F106" i="18"/>
  <c r="E123" i="43"/>
  <c r="D144" i="43" s="1"/>
  <c r="F84" i="18"/>
  <c r="D28" i="35"/>
  <c r="D34" i="35" s="1"/>
  <c r="F83" i="18"/>
  <c r="F68" i="36"/>
  <c r="AW9" i="58" s="1"/>
  <c r="F58" i="36"/>
  <c r="AO9" i="58" s="1"/>
  <c r="F103" i="43"/>
  <c r="E123" i="42"/>
  <c r="D144" i="42" s="1"/>
  <c r="F103" i="44"/>
  <c r="D157" i="42"/>
  <c r="F90" i="18"/>
  <c r="F69" i="36"/>
  <c r="AX9" i="58" s="1"/>
  <c r="AT5" i="38"/>
  <c r="AT4" i="38"/>
  <c r="AX5" i="38"/>
  <c r="AW4" i="38"/>
  <c r="AU4" i="38"/>
  <c r="D157" i="44"/>
  <c r="F80" i="42"/>
  <c r="AU6" i="38"/>
  <c r="F103" i="42"/>
  <c r="AW5" i="38"/>
  <c r="F80" i="44"/>
  <c r="E123" i="44"/>
  <c r="D144" i="44" s="1"/>
  <c r="AX4" i="38"/>
  <c r="F80" i="43"/>
  <c r="AV4" i="38"/>
  <c r="AO6" i="38"/>
  <c r="AT6" i="38"/>
  <c r="AO4" i="38"/>
  <c r="F73" i="47"/>
  <c r="I66" i="47" s="1"/>
  <c r="E72" i="18"/>
  <c r="AV6" i="38"/>
  <c r="AV5" i="38"/>
  <c r="AU5" i="38"/>
  <c r="F74" i="18"/>
  <c r="F72" i="18" s="1"/>
  <c r="F80" i="41"/>
  <c r="D157" i="43"/>
  <c r="AO5" i="38"/>
  <c r="F73" i="48"/>
  <c r="I65" i="48" s="1"/>
  <c r="AW6" i="38"/>
  <c r="AX6" i="38"/>
  <c r="B129" i="40"/>
  <c r="B2" i="40"/>
  <c r="E104" i="18"/>
  <c r="F66" i="36"/>
  <c r="AU9" i="58" s="1"/>
  <c r="F108" i="18"/>
  <c r="F67" i="36"/>
  <c r="AV9" i="58" s="1"/>
  <c r="E81" i="18"/>
  <c r="E77" i="18"/>
  <c r="F91" i="18"/>
  <c r="F76" i="40"/>
  <c r="F71" i="40"/>
  <c r="F73" i="46"/>
  <c r="F80" i="40"/>
  <c r="F103" i="40"/>
  <c r="D157" i="40"/>
  <c r="E123" i="41"/>
  <c r="D144" i="41" s="1"/>
  <c r="D159" i="41" s="1"/>
  <c r="E123" i="40"/>
  <c r="D144" i="40" s="1"/>
  <c r="F77" i="18"/>
  <c r="D159" i="43" l="1"/>
  <c r="D163" i="43" s="1"/>
  <c r="D166" i="43" s="1"/>
  <c r="F104" i="18"/>
  <c r="F123" i="41"/>
  <c r="F125" i="41" s="1"/>
  <c r="F123" i="43"/>
  <c r="F125" i="43" s="1"/>
  <c r="I67" i="48"/>
  <c r="F81" i="18"/>
  <c r="F123" i="44"/>
  <c r="F125" i="44" s="1"/>
  <c r="D159" i="44"/>
  <c r="D163" i="44" s="1"/>
  <c r="D166" i="44" s="1"/>
  <c r="D159" i="42"/>
  <c r="I66" i="48"/>
  <c r="I57" i="47"/>
  <c r="I48" i="47"/>
  <c r="I64" i="47"/>
  <c r="I51" i="47"/>
  <c r="I42" i="47"/>
  <c r="I43" i="47"/>
  <c r="I40" i="47"/>
  <c r="I41" i="47"/>
  <c r="I60" i="47"/>
  <c r="I49" i="47"/>
  <c r="I63" i="47"/>
  <c r="I59" i="47"/>
  <c r="E31" i="51"/>
  <c r="E33" i="51" s="1"/>
  <c r="BK4" i="58" s="1"/>
  <c r="I56" i="47"/>
  <c r="I50" i="47"/>
  <c r="I52" i="47"/>
  <c r="I70" i="47"/>
  <c r="I71" i="48"/>
  <c r="F123" i="42"/>
  <c r="F125" i="42" s="1"/>
  <c r="I71" i="47"/>
  <c r="I68" i="47"/>
  <c r="I67" i="47"/>
  <c r="I69" i="48"/>
  <c r="I69" i="47"/>
  <c r="I65" i="47"/>
  <c r="I58" i="48"/>
  <c r="I48" i="48"/>
  <c r="I50" i="48"/>
  <c r="I40" i="48"/>
  <c r="I49" i="48"/>
  <c r="I56" i="48"/>
  <c r="I70" i="48"/>
  <c r="E31" i="52"/>
  <c r="E33" i="52" s="1"/>
  <c r="BK5" i="58" s="1"/>
  <c r="I51" i="48"/>
  <c r="I60" i="48"/>
  <c r="I52" i="48"/>
  <c r="I64" i="48"/>
  <c r="I42" i="48"/>
  <c r="I63" i="48"/>
  <c r="I43" i="48"/>
  <c r="I57" i="48"/>
  <c r="I41" i="48"/>
  <c r="I59" i="48"/>
  <c r="I68" i="48"/>
  <c r="I58" i="47"/>
  <c r="E124" i="18"/>
  <c r="D21" i="35" s="1"/>
  <c r="I67" i="46"/>
  <c r="E31" i="50"/>
  <c r="E33" i="50" s="1"/>
  <c r="F123" i="40"/>
  <c r="I68" i="46"/>
  <c r="I66" i="46"/>
  <c r="I71" i="46"/>
  <c r="I51" i="46"/>
  <c r="I56" i="46"/>
  <c r="I49" i="46"/>
  <c r="I50" i="46"/>
  <c r="I63" i="46"/>
  <c r="I60" i="46"/>
  <c r="I42" i="46"/>
  <c r="I52" i="46"/>
  <c r="I70" i="46"/>
  <c r="I43" i="46"/>
  <c r="I41" i="46"/>
  <c r="I64" i="46"/>
  <c r="I40" i="46"/>
  <c r="I48" i="46"/>
  <c r="I57" i="46"/>
  <c r="I59" i="46"/>
  <c r="I69" i="46"/>
  <c r="I58" i="46"/>
  <c r="I65" i="46"/>
  <c r="D159" i="40"/>
  <c r="D185" i="40" s="1"/>
  <c r="D185" i="41"/>
  <c r="D163" i="41"/>
  <c r="D166" i="41" s="1"/>
  <c r="D185" i="43" l="1"/>
  <c r="E174" i="43" s="1"/>
  <c r="BK3" i="38"/>
  <c r="BK3" i="58"/>
  <c r="F124" i="18"/>
  <c r="D185" i="44"/>
  <c r="E183" i="44" s="1"/>
  <c r="D185" i="42"/>
  <c r="D163" i="42"/>
  <c r="D166" i="42" s="1"/>
  <c r="I73" i="48"/>
  <c r="BK4" i="38"/>
  <c r="E38" i="51"/>
  <c r="E37" i="51"/>
  <c r="E75" i="51"/>
  <c r="E77" i="51" a="1"/>
  <c r="E77" i="51" s="1"/>
  <c r="E51" i="51"/>
  <c r="BK5" i="38"/>
  <c r="E51" i="52"/>
  <c r="E38" i="52"/>
  <c r="E77" i="52" a="1"/>
  <c r="E77" i="52" s="1"/>
  <c r="E75" i="52"/>
  <c r="E37" i="52"/>
  <c r="I73" i="47"/>
  <c r="E38" i="50"/>
  <c r="E51" i="50"/>
  <c r="E77" i="50" a="1"/>
  <c r="E77" i="50" s="1"/>
  <c r="E75" i="50"/>
  <c r="E37" i="50"/>
  <c r="I73" i="46"/>
  <c r="D163" i="40"/>
  <c r="D166" i="40" s="1"/>
  <c r="E174" i="41"/>
  <c r="E183" i="41"/>
  <c r="E174" i="40"/>
  <c r="E183" i="40"/>
  <c r="D53" i="6"/>
  <c r="E183" i="43" l="1"/>
  <c r="C190" i="43" s="1"/>
  <c r="D191" i="43" s="1"/>
  <c r="BR3" i="38"/>
  <c r="BR3" i="58"/>
  <c r="BR4" i="38"/>
  <c r="BR4" i="58"/>
  <c r="BR5" i="38"/>
  <c r="BR5" i="58"/>
  <c r="E174" i="44"/>
  <c r="E40" i="52"/>
  <c r="E40" i="51"/>
  <c r="E174" i="42"/>
  <c r="E183" i="42"/>
  <c r="D188" i="44"/>
  <c r="C190" i="44"/>
  <c r="D191" i="44" s="1"/>
  <c r="E40" i="50"/>
  <c r="C190" i="40"/>
  <c r="D191" i="40" s="1"/>
  <c r="D188" i="40"/>
  <c r="D188" i="41"/>
  <c r="C190" i="41"/>
  <c r="D191" i="41" s="1"/>
  <c r="D50" i="6"/>
  <c r="D51" i="6"/>
  <c r="D188" i="43" l="1"/>
  <c r="E187" i="43" s="1"/>
  <c r="E175" i="43" s="1"/>
  <c r="E177" i="43" s="1"/>
  <c r="E187" i="44"/>
  <c r="E175" i="44" s="1"/>
  <c r="E187" i="41"/>
  <c r="E175" i="41" s="1"/>
  <c r="E52" i="51"/>
  <c r="E54" i="51" s="1"/>
  <c r="BN4" i="58" s="1"/>
  <c r="BL4" i="58"/>
  <c r="BL3" i="38"/>
  <c r="BL3" i="58"/>
  <c r="E52" i="52"/>
  <c r="E54" i="52" s="1"/>
  <c r="BN5" i="58" s="1"/>
  <c r="BL5" i="58"/>
  <c r="BL4" i="38"/>
  <c r="BL5" i="38"/>
  <c r="D188" i="42"/>
  <c r="C190" i="42"/>
  <c r="D191" i="42" s="1"/>
  <c r="E52" i="50"/>
  <c r="E54" i="50" s="1"/>
  <c r="BN3" i="58" s="1"/>
  <c r="E187" i="40"/>
  <c r="E187" i="42" l="1"/>
  <c r="E175" i="42" s="1"/>
  <c r="BN5" i="38"/>
  <c r="E59" i="52"/>
  <c r="E60" i="52" s="1"/>
  <c r="BP5" i="58" s="1"/>
  <c r="E59" i="51"/>
  <c r="E60" i="51" s="1"/>
  <c r="BP4" i="58" s="1"/>
  <c r="BN4" i="38"/>
  <c r="E197" i="43"/>
  <c r="D18" i="43" s="1"/>
  <c r="D19" i="43"/>
  <c r="E19" i="43" s="1"/>
  <c r="E177" i="44"/>
  <c r="D19" i="44"/>
  <c r="E19" i="44" s="1"/>
  <c r="E197" i="44"/>
  <c r="E59" i="50"/>
  <c r="E60" i="50" s="1"/>
  <c r="BP3" i="58" s="1"/>
  <c r="BN3" i="38"/>
  <c r="E175" i="40"/>
  <c r="E177" i="40" s="1"/>
  <c r="D19" i="40"/>
  <c r="E19" i="40" s="1"/>
  <c r="E197" i="40"/>
  <c r="E177" i="41"/>
  <c r="D19" i="41"/>
  <c r="E19" i="41" s="1"/>
  <c r="E197" i="41"/>
  <c r="D36" i="35"/>
  <c r="C60" i="52" l="1" a="1"/>
  <c r="C60" i="52" s="1"/>
  <c r="C71" i="52" a="1"/>
  <c r="C71" i="52" s="1"/>
  <c r="BP4" i="38"/>
  <c r="C60" i="51" a="1"/>
  <c r="C60" i="51" s="1"/>
  <c r="C71" i="51" a="1"/>
  <c r="C71" i="51" s="1"/>
  <c r="BP5" i="38"/>
  <c r="E199" i="43"/>
  <c r="E177" i="42"/>
  <c r="D19" i="42"/>
  <c r="E19" i="42" s="1"/>
  <c r="E197" i="42"/>
  <c r="D30" i="43"/>
  <c r="D125" i="43" s="1"/>
  <c r="E18" i="43"/>
  <c r="E30" i="43" s="1"/>
  <c r="E125" i="43" s="1"/>
  <c r="D18" i="44"/>
  <c r="E199" i="44"/>
  <c r="C60" i="50" a="1"/>
  <c r="C60" i="50" s="1"/>
  <c r="BP3" i="38"/>
  <c r="C71" i="50" a="1"/>
  <c r="C71" i="50" s="1"/>
  <c r="D18" i="41"/>
  <c r="E199" i="41"/>
  <c r="E199" i="40"/>
  <c r="D18" i="40"/>
  <c r="D40" i="35"/>
  <c r="C110" i="35" s="1"/>
  <c r="D18" i="42" l="1"/>
  <c r="E199" i="42"/>
  <c r="D30" i="44"/>
  <c r="D125" i="44" s="1"/>
  <c r="E18" i="44"/>
  <c r="E30" i="44" s="1"/>
  <c r="E125" i="44" s="1"/>
  <c r="E18" i="41"/>
  <c r="E30" i="41" s="1"/>
  <c r="E125" i="41" s="1"/>
  <c r="D30" i="41"/>
  <c r="D125" i="41" s="1"/>
  <c r="C113" i="35"/>
  <c r="E18" i="42" l="1"/>
  <c r="E30" i="42" s="1"/>
  <c r="E125" i="42" s="1"/>
  <c r="D30" i="42"/>
  <c r="D125" i="42" s="1"/>
  <c r="C115" i="35"/>
  <c r="C116" i="35" s="1"/>
  <c r="D41" i="35"/>
  <c r="F71" i="45" s="1"/>
  <c r="F73" i="45" s="1"/>
  <c r="E31" i="37" s="1"/>
  <c r="E33" i="37" s="1"/>
  <c r="C117" i="35"/>
  <c r="C118" i="35" s="1"/>
  <c r="D26" i="18" s="1"/>
  <c r="E77" i="37" l="1" a="1"/>
  <c r="E77" i="37" s="1"/>
  <c r="BK2" i="58"/>
  <c r="AZ2" i="58"/>
  <c r="AZ2" i="38"/>
  <c r="F71" i="36"/>
  <c r="D42" i="35"/>
  <c r="D15" i="19"/>
  <c r="E15" i="19" s="1"/>
  <c r="F30" i="40"/>
  <c r="F125" i="40" s="1"/>
  <c r="B41" i="35"/>
  <c r="D62" i="35"/>
  <c r="E60" i="35" s="1"/>
  <c r="D43" i="35"/>
  <c r="B45" i="35" s="1"/>
  <c r="I36" i="25" s="1"/>
  <c r="C119" i="35"/>
  <c r="E26" i="18"/>
  <c r="F26" i="18" s="1"/>
  <c r="F31" i="18" s="1"/>
  <c r="F126" i="18" s="1"/>
  <c r="E36" i="25"/>
  <c r="BR2" i="38" l="1"/>
  <c r="BR2" i="58"/>
  <c r="F73" i="36"/>
  <c r="E31" i="54" s="1"/>
  <c r="E33" i="54" s="1"/>
  <c r="AZ9" i="58"/>
  <c r="F73" i="49"/>
  <c r="E31" i="53" s="1"/>
  <c r="E33" i="53" s="1"/>
  <c r="BK6" i="58" s="1"/>
  <c r="G15" i="19"/>
  <c r="E51" i="35"/>
  <c r="H36" i="25"/>
  <c r="C67" i="35"/>
  <c r="D68" i="35" s="1"/>
  <c r="D65" i="35"/>
  <c r="F51" i="35" l="1"/>
  <c r="E64" i="35"/>
  <c r="E77" i="54" a="1"/>
  <c r="E77" i="54" s="1"/>
  <c r="BR9" i="58" s="1"/>
  <c r="BK9" i="58"/>
  <c r="E37" i="53"/>
  <c r="E38" i="53"/>
  <c r="I71" i="49"/>
  <c r="I70" i="49"/>
  <c r="I65" i="49"/>
  <c r="I56" i="49"/>
  <c r="I58" i="49"/>
  <c r="I64" i="49"/>
  <c r="I42" i="49"/>
  <c r="I40" i="49"/>
  <c r="I59" i="49"/>
  <c r="I67" i="49"/>
  <c r="E77" i="53" a="1"/>
  <c r="E77" i="53" s="1"/>
  <c r="BR6" i="58" s="1"/>
  <c r="I52" i="49"/>
  <c r="I63" i="49"/>
  <c r="I69" i="49"/>
  <c r="I48" i="49"/>
  <c r="I51" i="49"/>
  <c r="I66" i="49"/>
  <c r="I41" i="49"/>
  <c r="I60" i="49"/>
  <c r="I57" i="49"/>
  <c r="I68" i="49"/>
  <c r="I49" i="49"/>
  <c r="I43" i="49"/>
  <c r="I50" i="49"/>
  <c r="E38" i="54"/>
  <c r="E37" i="54"/>
  <c r="E75" i="54"/>
  <c r="E51" i="54"/>
  <c r="I52" i="45"/>
  <c r="I40" i="45"/>
  <c r="I42" i="45"/>
  <c r="I51" i="45"/>
  <c r="I43" i="45"/>
  <c r="I41" i="45"/>
  <c r="I50" i="45"/>
  <c r="I59" i="45"/>
  <c r="I64" i="45"/>
  <c r="I57" i="45"/>
  <c r="I63" i="45"/>
  <c r="I60" i="45"/>
  <c r="I70" i="45"/>
  <c r="I49" i="45"/>
  <c r="I48" i="45"/>
  <c r="I56" i="45"/>
  <c r="I69" i="45"/>
  <c r="I68" i="45"/>
  <c r="I67" i="45"/>
  <c r="I65" i="45"/>
  <c r="I58" i="45"/>
  <c r="I66" i="45"/>
  <c r="I71" i="45"/>
  <c r="I49" i="36"/>
  <c r="I60" i="36"/>
  <c r="I65" i="36"/>
  <c r="I68" i="36"/>
  <c r="I64" i="36"/>
  <c r="I56" i="36"/>
  <c r="I63" i="36"/>
  <c r="I69" i="36"/>
  <c r="I57" i="36"/>
  <c r="I52" i="36"/>
  <c r="I58" i="36"/>
  <c r="I43" i="36"/>
  <c r="I59" i="36"/>
  <c r="I66" i="36"/>
  <c r="I41" i="36"/>
  <c r="I42" i="36"/>
  <c r="I40" i="36"/>
  <c r="I70" i="36"/>
  <c r="I51" i="36"/>
  <c r="I67" i="36"/>
  <c r="I48" i="36"/>
  <c r="I50" i="36"/>
  <c r="I71" i="36"/>
  <c r="E52" i="35" l="1"/>
  <c r="E54" i="35" s="1"/>
  <c r="D14" i="19"/>
  <c r="E40" i="53"/>
  <c r="BL6" i="58" s="1"/>
  <c r="E40" i="54"/>
  <c r="BL9" i="58" s="1"/>
  <c r="BK6" i="38"/>
  <c r="E75" i="53"/>
  <c r="E51" i="53"/>
  <c r="BR6" i="38"/>
  <c r="I73" i="49"/>
  <c r="I73" i="45"/>
  <c r="I73" i="36"/>
  <c r="E30" i="25"/>
  <c r="H30" i="25" s="1"/>
  <c r="D20" i="18"/>
  <c r="E20" i="18" s="1"/>
  <c r="E74" i="35"/>
  <c r="F52" i="35" l="1"/>
  <c r="E52" i="53"/>
  <c r="E54" i="53" s="1"/>
  <c r="BN6" i="58" s="1"/>
  <c r="BK2" i="38"/>
  <c r="E52" i="54"/>
  <c r="E54" i="54" s="1"/>
  <c r="BN9" i="58" s="1"/>
  <c r="E20" i="25"/>
  <c r="E22" i="25" s="1"/>
  <c r="E14" i="19"/>
  <c r="G14" i="19" s="1"/>
  <c r="D19" i="18"/>
  <c r="D31" i="18" s="1"/>
  <c r="D126" i="18" s="1"/>
  <c r="E76" i="35"/>
  <c r="D13" i="19"/>
  <c r="BL6" i="38" l="1"/>
  <c r="E59" i="53"/>
  <c r="E60" i="53" s="1"/>
  <c r="BP6" i="58" s="1"/>
  <c r="BN6" i="38"/>
  <c r="E59" i="54"/>
  <c r="E60" i="54" s="1"/>
  <c r="BP9" i="58" s="1"/>
  <c r="D30" i="40"/>
  <c r="D125" i="40" s="1"/>
  <c r="E18" i="40"/>
  <c r="E30" i="40" s="1"/>
  <c r="E125" i="40" s="1"/>
  <c r="E13" i="19"/>
  <c r="D55" i="17"/>
  <c r="E19" i="18"/>
  <c r="D16" i="19"/>
  <c r="H20" i="25"/>
  <c r="H22" i="25" s="1"/>
  <c r="G20" i="25"/>
  <c r="G22" i="25" s="1"/>
  <c r="C60" i="53" l="1" a="1"/>
  <c r="C60" i="53" s="1"/>
  <c r="C71" i="53" a="1"/>
  <c r="C71" i="53" s="1"/>
  <c r="BP6" i="38"/>
  <c r="C60" i="54" a="1"/>
  <c r="C60" i="54" s="1"/>
  <c r="C71" i="54" a="1"/>
  <c r="C71" i="54" s="1"/>
  <c r="E16" i="19"/>
  <c r="C12" i="29"/>
  <c r="L12" i="29" s="1"/>
  <c r="Q12" i="29" s="1"/>
  <c r="D58" i="17"/>
  <c r="D44" i="17" s="1"/>
  <c r="D47" i="17" s="1"/>
  <c r="E31" i="18"/>
  <c r="E126" i="18" s="1"/>
  <c r="E51" i="37" l="1"/>
  <c r="E75" i="37"/>
  <c r="E37" i="37"/>
  <c r="E38" i="37"/>
  <c r="E40" i="37" l="1"/>
  <c r="BL2" i="58" s="1"/>
  <c r="E52" i="37" l="1"/>
  <c r="E54" i="37" s="1"/>
  <c r="BL2" i="38"/>
  <c r="BN2" i="38" l="1"/>
  <c r="BN2" i="58"/>
  <c r="E59" i="37"/>
  <c r="E60" i="37" s="1"/>
  <c r="BP2" i="38" l="1"/>
  <c r="BP2" i="58"/>
  <c r="C60" i="37" a="1"/>
  <c r="C60" i="37" s="1"/>
  <c r="C71" i="37" a="1"/>
  <c r="C71" i="37" s="1"/>
  <c r="C62" i="34"/>
  <c r="G66" i="34" l="1"/>
  <c r="G68" i="34" s="1"/>
  <c r="G70" i="34" s="1"/>
  <c r="E16" i="52" s="1"/>
  <c r="D66" i="34"/>
  <c r="D68" i="34" s="1"/>
  <c r="D70" i="34" s="1"/>
  <c r="E16" i="37" s="1"/>
  <c r="E66" i="34"/>
  <c r="E68" i="34" s="1"/>
  <c r="E70" i="34" s="1"/>
  <c r="E16" i="50" s="1"/>
  <c r="F66" i="34"/>
  <c r="F68" i="34" s="1"/>
  <c r="F70" i="34" s="1"/>
  <c r="I81" i="34"/>
  <c r="C66" i="34"/>
  <c r="I67" i="34" s="1"/>
  <c r="H79" i="34" s="1"/>
  <c r="G81" i="34" l="1"/>
  <c r="BA5" i="58" s="1"/>
  <c r="BD5" i="58"/>
  <c r="BJ5" i="58" s="1"/>
  <c r="BD5" i="38"/>
  <c r="BJ5" i="38" s="1"/>
  <c r="BD3" i="58"/>
  <c r="BJ3" i="58" s="1"/>
  <c r="BD3" i="38"/>
  <c r="BJ3" i="38" s="1"/>
  <c r="BD2" i="58"/>
  <c r="BJ2" i="58" s="1"/>
  <c r="BD2" i="38"/>
  <c r="BJ2" i="38" s="1"/>
  <c r="F81" i="34"/>
  <c r="BA4" i="58" s="1"/>
  <c r="E16" i="51"/>
  <c r="E27" i="51" s="1"/>
  <c r="E64" i="51" s="1"/>
  <c r="F75" i="48"/>
  <c r="F77" i="48" s="1"/>
  <c r="C79" i="48" s="1"/>
  <c r="BA5" i="38"/>
  <c r="E81" i="34"/>
  <c r="E27" i="52"/>
  <c r="E64" i="52" s="1"/>
  <c r="E66" i="52"/>
  <c r="I79" i="34"/>
  <c r="BA3" i="38"/>
  <c r="E63" i="52"/>
  <c r="F79" i="34"/>
  <c r="C79" i="34"/>
  <c r="E79" i="34"/>
  <c r="D79" i="34"/>
  <c r="G79" i="34"/>
  <c r="I80" i="34"/>
  <c r="C68" i="34"/>
  <c r="E65" i="52" l="1"/>
  <c r="BO5" i="58" s="1"/>
  <c r="E66" i="51"/>
  <c r="F75" i="46"/>
  <c r="BA3" i="58"/>
  <c r="BD4" i="38"/>
  <c r="BJ4" i="38" s="1"/>
  <c r="BD4" i="58"/>
  <c r="BJ4" i="58" s="1"/>
  <c r="BA4" i="38"/>
  <c r="F75" i="47"/>
  <c r="F77" i="47" s="1"/>
  <c r="C79" i="47" s="1"/>
  <c r="E27" i="50"/>
  <c r="E64" i="50" s="1"/>
  <c r="E66" i="50"/>
  <c r="I69" i="34"/>
  <c r="C70" i="34"/>
  <c r="E67" i="52" l="1"/>
  <c r="BQ5" i="58" s="1"/>
  <c r="BO5" i="38"/>
  <c r="E63" i="51"/>
  <c r="E65" i="51" s="1"/>
  <c r="BO4" i="58" s="1"/>
  <c r="E66" i="37"/>
  <c r="E27" i="37"/>
  <c r="E64" i="37" s="1"/>
  <c r="C67" i="52" a="1"/>
  <c r="C67" i="52" s="1"/>
  <c r="BQ5" i="38"/>
  <c r="E71" i="52"/>
  <c r="H80" i="34"/>
  <c r="H81" i="34" s="1"/>
  <c r="BA6" i="58" s="1"/>
  <c r="D80" i="34"/>
  <c r="D81" i="34" s="1"/>
  <c r="BA2" i="58" s="1"/>
  <c r="G80" i="34"/>
  <c r="F80" i="34"/>
  <c r="C80" i="34"/>
  <c r="E80" i="34"/>
  <c r="C81" i="34"/>
  <c r="C37" i="25"/>
  <c r="C22" i="19"/>
  <c r="E16" i="54"/>
  <c r="E67" i="51" l="1"/>
  <c r="BQ4" i="58" s="1"/>
  <c r="BO4" i="38"/>
  <c r="E27" i="54"/>
  <c r="BD9" i="58"/>
  <c r="BA2" i="38"/>
  <c r="F75" i="45"/>
  <c r="E63" i="37" s="1"/>
  <c r="E65" i="37" s="1"/>
  <c r="BO2" i="58" s="1"/>
  <c r="I84" i="34"/>
  <c r="I76" i="34"/>
  <c r="F75" i="49"/>
  <c r="E63" i="53" s="1"/>
  <c r="E65" i="53" s="1"/>
  <c r="BO6" i="58" s="1"/>
  <c r="BA6" i="38"/>
  <c r="E71" i="51"/>
  <c r="E66" i="54"/>
  <c r="D22" i="19"/>
  <c r="C23" i="19"/>
  <c r="F77" i="45" l="1"/>
  <c r="C79" i="45" s="1"/>
  <c r="BQ4" i="38"/>
  <c r="C67" i="51" a="1"/>
  <c r="C67" i="51" s="1"/>
  <c r="F77" i="49"/>
  <c r="C79" i="49" s="1"/>
  <c r="E64" i="54"/>
  <c r="BJ9" i="58"/>
  <c r="E67" i="37"/>
  <c r="BQ2" i="58" s="1"/>
  <c r="BO2" i="38"/>
  <c r="F62" i="53"/>
  <c r="F62" i="54"/>
  <c r="F62" i="37"/>
  <c r="F62" i="50"/>
  <c r="F62" i="52"/>
  <c r="F62" i="51"/>
  <c r="D28" i="17"/>
  <c r="F22" i="19"/>
  <c r="F23" i="19" s="1"/>
  <c r="F26" i="19" s="1"/>
  <c r="C84" i="34"/>
  <c r="C85" i="34" s="1"/>
  <c r="E63" i="50"/>
  <c r="E65" i="50" s="1"/>
  <c r="BO3" i="58" s="1"/>
  <c r="F77" i="46"/>
  <c r="C79" i="46" s="1"/>
  <c r="BO6" i="38"/>
  <c r="E67" i="53"/>
  <c r="BQ6" i="58" s="1"/>
  <c r="E22" i="19"/>
  <c r="E23" i="19" s="1"/>
  <c r="E26" i="19" s="1"/>
  <c r="D26" i="17" s="1"/>
  <c r="C26" i="19"/>
  <c r="D23" i="19"/>
  <c r="D26" i="19" s="1"/>
  <c r="E71" i="37" l="1"/>
  <c r="C67" i="37" a="1"/>
  <c r="C67" i="37" s="1"/>
  <c r="BQ2" i="38"/>
  <c r="D32" i="17"/>
  <c r="D40" i="17" s="1"/>
  <c r="C10" i="29" s="1"/>
  <c r="L10" i="29" s="1"/>
  <c r="Q10" i="29" s="1"/>
  <c r="E37" i="25"/>
  <c r="F75" i="36"/>
  <c r="BA9" i="58" s="1"/>
  <c r="BQ6" i="38"/>
  <c r="C67" i="53" a="1"/>
  <c r="C67" i="53" s="1"/>
  <c r="E71" i="53"/>
  <c r="BO3" i="38"/>
  <c r="E67" i="50"/>
  <c r="BQ3" i="58" s="1"/>
  <c r="I37" i="25"/>
  <c r="H37" i="25"/>
  <c r="B51" i="17" l="1"/>
  <c r="C7" i="29"/>
  <c r="L7" i="29" s="1"/>
  <c r="Q7" i="29" s="1"/>
  <c r="Q15" i="29" s="1"/>
  <c r="Q16" i="29" s="1"/>
  <c r="D49" i="17"/>
  <c r="F77" i="36"/>
  <c r="C79" i="36" s="1"/>
  <c r="E63" i="54"/>
  <c r="E65" i="54" s="1"/>
  <c r="BO9" i="58" s="1"/>
  <c r="C67" i="50" a="1"/>
  <c r="C67" i="50" s="1"/>
  <c r="BQ3" i="38"/>
  <c r="E71" i="50"/>
  <c r="E67" i="54" l="1"/>
  <c r="BQ9" i="58" s="1"/>
  <c r="E71" i="54" l="1"/>
  <c r="C67" i="54" a="1"/>
  <c r="C67" i="5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21" authorId="0" shapeId="0" xr:uid="{2B4B6E58-FA91-4474-B8BE-4549C7A183F1}">
      <text>
        <r>
          <rPr>
            <b/>
            <sz val="11"/>
            <color indexed="81"/>
            <rFont val="Tahoma"/>
            <family val="2"/>
          </rPr>
          <t>Enter as a negative</t>
        </r>
      </text>
    </comment>
    <comment ref="F21" authorId="0" shapeId="0" xr:uid="{B021B4C7-FD28-4BBC-9AEB-F17D1556DA0B}">
      <text>
        <r>
          <rPr>
            <b/>
            <sz val="11"/>
            <color indexed="81"/>
            <rFont val="Tahoma"/>
            <family val="2"/>
          </rPr>
          <t>Enter as a negative</t>
        </r>
      </text>
    </comment>
    <comment ref="G21" authorId="0" shapeId="0" xr:uid="{892B27CD-EDF6-4899-A974-024515FBC85F}">
      <text>
        <r>
          <rPr>
            <b/>
            <sz val="11"/>
            <color indexed="81"/>
            <rFont val="Tahoma"/>
            <family val="2"/>
          </rPr>
          <t>Enter as a negative</t>
        </r>
      </text>
    </comment>
    <comment ref="H21" authorId="0" shapeId="0" xr:uid="{601B85E8-D6DB-4905-B112-0D069876D159}">
      <text>
        <r>
          <rPr>
            <b/>
            <sz val="11"/>
            <color indexed="81"/>
            <rFont val="Tahoma"/>
            <family val="2"/>
          </rPr>
          <t>Enter as a negative</t>
        </r>
      </text>
    </comment>
    <comment ref="I21" authorId="0" shapeId="0" xr:uid="{1D43D1EC-856A-4F87-8AB9-50FDE51FA145}">
      <text>
        <r>
          <rPr>
            <b/>
            <sz val="11"/>
            <color indexed="81"/>
            <rFont val="Tahoma"/>
            <family val="2"/>
          </rPr>
          <t>Enter as a negative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18" authorId="0" shapeId="0" xr:uid="{4DF520F6-19C2-4586-813A-B5DAE2D26EAA}">
      <text>
        <r>
          <rPr>
            <b/>
            <sz val="9"/>
            <color indexed="81"/>
            <rFont val="Tahoma"/>
            <family val="2"/>
          </rPr>
          <t>Amount adjusted as expenses entered below</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18" authorId="0" shapeId="0" xr:uid="{91022FB9-D889-4F5C-8597-0A99049F3B3C}">
      <text>
        <r>
          <rPr>
            <b/>
            <sz val="9"/>
            <color indexed="81"/>
            <rFont val="Tahoma"/>
            <family val="2"/>
          </rPr>
          <t>Amount adjusted as expenses entered below</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18" authorId="0" shapeId="0" xr:uid="{1924A3D1-7AA8-4244-944F-6C41A651BB46}">
      <text>
        <r>
          <rPr>
            <b/>
            <sz val="9"/>
            <color indexed="81"/>
            <rFont val="Tahoma"/>
            <family val="2"/>
          </rPr>
          <t>Amount adjusted as expenses entered below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18" authorId="0" shapeId="0" xr:uid="{2E6BD212-BF97-4519-B437-A185C9C49983}">
      <text>
        <r>
          <rPr>
            <b/>
            <sz val="9"/>
            <color indexed="81"/>
            <rFont val="Tahoma"/>
            <family val="2"/>
          </rPr>
          <t>Amount adjusted as expenses entered below</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18" authorId="0" shapeId="0" xr:uid="{D4C0B6FB-DE95-41FD-9C3F-CDA05D013328}">
      <text>
        <r>
          <rPr>
            <b/>
            <sz val="9"/>
            <color indexed="81"/>
            <rFont val="Tahoma"/>
            <family val="2"/>
          </rPr>
          <t>Amount adjusted as expenses entered below</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19" authorId="0" shapeId="0" xr:uid="{87F4FBD7-4B0D-4E5D-B42C-9AA2782825E2}">
      <text>
        <r>
          <rPr>
            <b/>
            <sz val="9"/>
            <color indexed="81"/>
            <rFont val="Tahoma"/>
            <family val="2"/>
          </rPr>
          <t>Amount adjusted as expenses entered below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<sst xmlns="http://schemas.openxmlformats.org/spreadsheetml/2006/main" count="3835" uniqueCount="981">
  <si>
    <t>Purpose</t>
  </si>
  <si>
    <t>2025 Operating Plan</t>
  </si>
  <si>
    <t>Infant</t>
  </si>
  <si>
    <t>Toddler</t>
  </si>
  <si>
    <t>Preschool</t>
  </si>
  <si>
    <t>Kinder</t>
  </si>
  <si>
    <t>Family</t>
  </si>
  <si>
    <t>Primary/Junior</t>
  </si>
  <si>
    <t>Junior</t>
  </si>
  <si>
    <t>Service days</t>
  </si>
  <si>
    <t>Licensed spaces</t>
  </si>
  <si>
    <t xml:space="preserve">OPERATING PLAN </t>
  </si>
  <si>
    <t xml:space="preserve">For more information related to Children who are 6 years of age, see 2025 CWELCC guidelines section 4.5. </t>
  </si>
  <si>
    <t>Primary / Junior</t>
  </si>
  <si>
    <t>Operating spaces for ineligible children (6-12 Yrs)</t>
  </si>
  <si>
    <t>As defined in O. Reg 137/15:</t>
  </si>
  <si>
    <t>Staffing ratio</t>
  </si>
  <si>
    <t>Maximum group size</t>
  </si>
  <si>
    <t>For 2025, costs could be split as follows:</t>
  </si>
  <si>
    <t>Age 0-6</t>
  </si>
  <si>
    <t>Age 6-12</t>
  </si>
  <si>
    <t>Announcement Name</t>
  </si>
  <si>
    <t>Budget Category</t>
  </si>
  <si>
    <t>Funding Allocation</t>
  </si>
  <si>
    <t>2025 CWELCC Cost-Based Funding</t>
  </si>
  <si>
    <t>Program Cost Allocation</t>
  </si>
  <si>
    <t>Program Staffing</t>
  </si>
  <si>
    <t xml:space="preserve">Supervisor </t>
  </si>
  <si>
    <t xml:space="preserve">Accommodations </t>
  </si>
  <si>
    <t xml:space="preserve">Operating – Fixed </t>
  </si>
  <si>
    <t xml:space="preserve">Operating – Variable </t>
  </si>
  <si>
    <t xml:space="preserve">Legacy Top-Up </t>
  </si>
  <si>
    <t xml:space="preserve">Growth Top-Up </t>
  </si>
  <si>
    <t>Total Program Cost Allocation</t>
  </si>
  <si>
    <t xml:space="preserve">Minus: Expected Base Fee Revenue Offset </t>
  </si>
  <si>
    <t xml:space="preserve">TOTAL </t>
  </si>
  <si>
    <t>2025 CWELCC – Allocation in Lieu of Profit/Surplus</t>
  </si>
  <si>
    <t>Amount in Lieu of Profit/Surplus</t>
  </si>
  <si>
    <t>TOTAL CWELCC ALLOCATION</t>
  </si>
  <si>
    <t xml:space="preserve">EXPENSES </t>
  </si>
  <si>
    <t>411a</t>
  </si>
  <si>
    <t>411b</t>
  </si>
  <si>
    <t>411c</t>
  </si>
  <si>
    <t>411d</t>
  </si>
  <si>
    <t>Other (provide description)</t>
  </si>
  <si>
    <t>OCCUPANCY</t>
  </si>
  <si>
    <t>421a</t>
  </si>
  <si>
    <t>421g</t>
  </si>
  <si>
    <t>421b</t>
  </si>
  <si>
    <t>421c</t>
  </si>
  <si>
    <t>421d</t>
  </si>
  <si>
    <t>421f</t>
  </si>
  <si>
    <t>NUTRITION (PROGRAM RELATED)</t>
  </si>
  <si>
    <t>431a</t>
  </si>
  <si>
    <t>431b</t>
  </si>
  <si>
    <t>PROGRAM</t>
  </si>
  <si>
    <t>441a</t>
  </si>
  <si>
    <t>GENERAL ADMINISTRATION</t>
  </si>
  <si>
    <t>451a</t>
  </si>
  <si>
    <t>451b</t>
  </si>
  <si>
    <t>451c</t>
  </si>
  <si>
    <t>451d</t>
  </si>
  <si>
    <t>451e</t>
  </si>
  <si>
    <t>451f</t>
  </si>
  <si>
    <t>451g</t>
  </si>
  <si>
    <t>451h</t>
  </si>
  <si>
    <t>451i</t>
  </si>
  <si>
    <t>451j</t>
  </si>
  <si>
    <t>451k</t>
  </si>
  <si>
    <t>451l</t>
  </si>
  <si>
    <t>451m</t>
  </si>
  <si>
    <t>451n</t>
  </si>
  <si>
    <t>451o</t>
  </si>
  <si>
    <t>461a</t>
  </si>
  <si>
    <t>461b</t>
  </si>
  <si>
    <t>461c</t>
  </si>
  <si>
    <t>NON-BASE EXPENSES for 0-6 FAMILIES - Do not include these expenses in above Expenses</t>
  </si>
  <si>
    <t>Underspending of Program Cost allocation</t>
  </si>
  <si>
    <t>Recalculation of In Lieu of Profit/Surplus</t>
  </si>
  <si>
    <t>Total:</t>
  </si>
  <si>
    <t>Below is a summary of repayable details.</t>
  </si>
  <si>
    <t>Lessor of:</t>
  </si>
  <si>
    <t>ii. Add - 3.5% lesser of:</t>
  </si>
  <si>
    <t xml:space="preserve">         ii. Benchmark allocation</t>
  </si>
  <si>
    <t>Greater of:</t>
  </si>
  <si>
    <t>Definition Codes</t>
  </si>
  <si>
    <t>451p</t>
  </si>
  <si>
    <t>Total</t>
  </si>
  <si>
    <t>Expected Base Fee Revenue Offset</t>
  </si>
  <si>
    <t>Operations</t>
  </si>
  <si>
    <t>Column1</t>
  </si>
  <si>
    <t>Other</t>
  </si>
  <si>
    <t># of Months Site Participated in CWELCC in 2025</t>
  </si>
  <si>
    <t xml:space="preserve">Early Years and Child Care Services </t>
  </si>
  <si>
    <t>Provider Information</t>
  </si>
  <si>
    <t>ID100</t>
  </si>
  <si>
    <t>ID101</t>
  </si>
  <si>
    <t>ID102</t>
  </si>
  <si>
    <t>Mailing Address (# and Street Name, Unit #):</t>
  </si>
  <si>
    <t>ID103</t>
  </si>
  <si>
    <t>Mailing Address (City, Province, Postal Code):</t>
  </si>
  <si>
    <t>ID104</t>
  </si>
  <si>
    <t>Auspice:</t>
  </si>
  <si>
    <t>ID107</t>
  </si>
  <si>
    <t>ID108</t>
  </si>
  <si>
    <t>ID109</t>
  </si>
  <si>
    <t>Region of Peel Contact Information</t>
  </si>
  <si>
    <t xml:space="preserve">For questions and/or assistance in completing this workbook, please email EarlyYearsSystemDivision@peelregion.ca. </t>
  </si>
  <si>
    <t>Region of Peel Staff Only</t>
  </si>
  <si>
    <t>Vendor ID:</t>
  </si>
  <si>
    <t>Assurance Level &amp; Opinion:</t>
  </si>
  <si>
    <t>Yes, Transacted @ Fair Market Value (FMV)</t>
  </si>
  <si>
    <t>Low</t>
  </si>
  <si>
    <t>Yes, Not Transacted @ Fair Market Value (FMV)</t>
  </si>
  <si>
    <t>High</t>
  </si>
  <si>
    <t>No</t>
  </si>
  <si>
    <t>N/A</t>
  </si>
  <si>
    <t>Audit/Review - Unqualified Opinion</t>
  </si>
  <si>
    <t>Unqualified</t>
  </si>
  <si>
    <t>Audit/Review - Qualified Opinion</t>
  </si>
  <si>
    <t>Qualified</t>
  </si>
  <si>
    <t xml:space="preserve">Audit/Review - Qualified Opinion Due to Nature of Business </t>
  </si>
  <si>
    <t>Audit/Review - Denial / Adverse Opinion</t>
  </si>
  <si>
    <t>Adverse</t>
  </si>
  <si>
    <t>Notice to Reader - No Opinion</t>
  </si>
  <si>
    <t>NTR</t>
  </si>
  <si>
    <t>Centre-Based</t>
  </si>
  <si>
    <t>Home-Based</t>
  </si>
  <si>
    <t>For-Profit</t>
  </si>
  <si>
    <t>Not-For-Profit</t>
  </si>
  <si>
    <t>Yes</t>
  </si>
  <si>
    <t>Statement of Financial Position / Balance Sheet</t>
  </si>
  <si>
    <t>ASSETS</t>
  </si>
  <si>
    <t>CASH / BANK</t>
  </si>
  <si>
    <t>SHORT TERM INVESTMENTS</t>
  </si>
  <si>
    <t>110a</t>
  </si>
  <si>
    <t>ACCOUNTS RECEIVABLE (NET OF ALLOWANCE)</t>
  </si>
  <si>
    <t>DUE FROM REGION OF PEEL</t>
  </si>
  <si>
    <t>111a</t>
  </si>
  <si>
    <t>OTHERS</t>
  </si>
  <si>
    <t>TOTAL CURRENT ASSETS</t>
  </si>
  <si>
    <t>CAPITAL ASSETS (NET OF AMORTIZATION)</t>
  </si>
  <si>
    <t>TOTAL NON-CURRENT ASSETS (NET OF AMORTIZATION)</t>
  </si>
  <si>
    <t>DUE FROM SHAREHOLDER</t>
  </si>
  <si>
    <t>TOTAL ASSETS</t>
  </si>
  <si>
    <t>LIABILITIES</t>
  </si>
  <si>
    <t>BANK INDEBTEDNESS</t>
  </si>
  <si>
    <t>ACCOUNTS PAYABLE &amp; ACCRUED LIABILITIES</t>
  </si>
  <si>
    <t>DUE TO REGION OF PEEL</t>
  </si>
  <si>
    <t>211a</t>
  </si>
  <si>
    <t>DEFERRED REVENUE</t>
  </si>
  <si>
    <t>SHORT TERM LOANS</t>
  </si>
  <si>
    <t>CURRENT LIABILITIES</t>
  </si>
  <si>
    <t>MORTGAGE</t>
  </si>
  <si>
    <t>OTHER LOANS</t>
  </si>
  <si>
    <t>TOTAL NON-CURRENT LIABILITIES</t>
  </si>
  <si>
    <t>DUE TO SHAREHOLDER</t>
  </si>
  <si>
    <t>TOTAL LIABILITIES</t>
  </si>
  <si>
    <t>EQUITY / NET ASSETS</t>
  </si>
  <si>
    <t>RETAINED EARNINGS / ACCUMULATED SURPLUS (DEFICIT)</t>
  </si>
  <si>
    <t>OTHER RESERVE (IF APPLICABLE)</t>
  </si>
  <si>
    <t>TOTAL EQUITY OR NET ASSETS</t>
  </si>
  <si>
    <t>TOTAL LIABILITIES &amp; EQUITY OR NET ASSETS</t>
  </si>
  <si>
    <t>RETAINED EARNINGS / ACCUMULATED SURPLUS (DEFICIT) DETAILS</t>
  </si>
  <si>
    <t>RETAINED EARNINGS / ACCUMULATED SURPLUS (DEFICIT), BEGINNING BALANCE</t>
  </si>
  <si>
    <t>500a</t>
  </si>
  <si>
    <t>ADD: CURRENT INCOME (LOSS) / SURPLUS (DEFICITS)</t>
  </si>
  <si>
    <t>500b</t>
  </si>
  <si>
    <t>LESS: DIVIDENDS PAID</t>
  </si>
  <si>
    <t>500c</t>
  </si>
  <si>
    <t>500d</t>
  </si>
  <si>
    <t>RETAINED EARNINGS / ACCUMULATED SURPLUS (DEFICIT), ENDING BALANCE</t>
  </si>
  <si>
    <t>TOTAL</t>
  </si>
  <si>
    <t>0-6</t>
  </si>
  <si>
    <t>OVER 6</t>
  </si>
  <si>
    <t>REVENUE DETAILS</t>
  </si>
  <si>
    <t xml:space="preserve">   TOTAL REVENUE</t>
  </si>
  <si>
    <t xml:space="preserve">   Other - please specify</t>
  </si>
  <si>
    <t xml:space="preserve">   Rental of Office / Building</t>
  </si>
  <si>
    <t xml:space="preserve">   Property Tax</t>
  </si>
  <si>
    <t xml:space="preserve">   Property Insurance</t>
  </si>
  <si>
    <t xml:space="preserve">   Property Maintenance Fees</t>
  </si>
  <si>
    <t xml:space="preserve">   Mortgage Interest</t>
  </si>
  <si>
    <t>421e</t>
  </si>
  <si>
    <t xml:space="preserve">   Utilities</t>
  </si>
  <si>
    <t xml:space="preserve">   Food Costs</t>
  </si>
  <si>
    <t xml:space="preserve">   Catering Service</t>
  </si>
  <si>
    <t>431c</t>
  </si>
  <si>
    <t xml:space="preserve">   Program Supplies</t>
  </si>
  <si>
    <t>441b</t>
  </si>
  <si>
    <t xml:space="preserve">   Advertising and Promotions</t>
  </si>
  <si>
    <t xml:space="preserve">   Auditing </t>
  </si>
  <si>
    <t xml:space="preserve">   Bad Debts</t>
  </si>
  <si>
    <t xml:space="preserve">   Bookkeeping</t>
  </si>
  <si>
    <t xml:space="preserve">   Insurance</t>
  </si>
  <si>
    <t xml:space="preserve">   Bank Charges</t>
  </si>
  <si>
    <t xml:space="preserve">   Legal</t>
  </si>
  <si>
    <t xml:space="preserve">   Management Fee </t>
  </si>
  <si>
    <t xml:space="preserve">   Office and General</t>
  </si>
  <si>
    <t xml:space="preserve">   Telephone &amp; Internet</t>
  </si>
  <si>
    <t xml:space="preserve">   Professional and Consulting Fees</t>
  </si>
  <si>
    <t xml:space="preserve">   Professional Dues</t>
  </si>
  <si>
    <t xml:space="preserve">   Payment to Home Child Care Providers (only applicable to licensed home child care agencies)</t>
  </si>
  <si>
    <t xml:space="preserve">   Repairs &amp; Maintenance</t>
  </si>
  <si>
    <t xml:space="preserve">   Income Tax</t>
  </si>
  <si>
    <t xml:space="preserve">   Franchise fees </t>
  </si>
  <si>
    <t xml:space="preserve">   TOTAL EXPENSES</t>
  </si>
  <si>
    <t xml:space="preserve">   CURRENT INCOME (LOSS) OR SURPLUS (DEFICIENCY) </t>
  </si>
  <si>
    <t>Peel Region Grants</t>
  </si>
  <si>
    <t>Funds Received</t>
  </si>
  <si>
    <t>Funds Spent</t>
  </si>
  <si>
    <t>Repayable to Peel</t>
  </si>
  <si>
    <t>CWELCC Funding</t>
  </si>
  <si>
    <t>CWELCC : Cost Based Funding</t>
  </si>
  <si>
    <t>CWELCC : Allocation in Lieu of Profit/Surplus</t>
  </si>
  <si>
    <t>Total CWELCC (0-6) Funding</t>
  </si>
  <si>
    <t>Total School-Aged (6-12) Funding</t>
  </si>
  <si>
    <t>Other Funding</t>
  </si>
  <si>
    <t>Base Fee Revenue in Excess of Allocation</t>
  </si>
  <si>
    <t>Total Step 2 Actual Cost-based Entitlement</t>
  </si>
  <si>
    <t>Actual CWELCC Repayable to the Region* (Step 1 - Step 2)</t>
  </si>
  <si>
    <t>ACTUAL CWELCC Repayable to Peel Consists of*:</t>
  </si>
  <si>
    <t>#</t>
  </si>
  <si>
    <t xml:space="preserve">Budget Category </t>
  </si>
  <si>
    <t xml:space="preserve">Awarded Budget </t>
  </si>
  <si>
    <t xml:space="preserve">Spent Previously </t>
  </si>
  <si>
    <t xml:space="preserve">Spent this Period </t>
  </si>
  <si>
    <t xml:space="preserve">Projected Spending for Remaining Periods </t>
  </si>
  <si>
    <t xml:space="preserve">Total Forecast </t>
  </si>
  <si>
    <t xml:space="preserve">Projected Year-to-Date Underspent </t>
  </si>
  <si>
    <t>Supervisor</t>
  </si>
  <si>
    <t>Accommodations</t>
  </si>
  <si>
    <t>Operating - Fixed</t>
  </si>
  <si>
    <t>Operating - Variable</t>
  </si>
  <si>
    <t>Legacy Top-Up</t>
  </si>
  <si>
    <t>Growth Top-Up</t>
  </si>
  <si>
    <t>Actual Program Cost</t>
  </si>
  <si>
    <t>In Lieu of Profit</t>
  </si>
  <si>
    <t>Repayable Calculation for Year End Reconciliation</t>
  </si>
  <si>
    <t>Emergency Funding - Capital</t>
  </si>
  <si>
    <t xml:space="preserve">   Central Allocated Administration (for Multi-site Agencies)</t>
  </si>
  <si>
    <r>
      <rPr>
        <b/>
        <sz val="12"/>
        <color theme="1"/>
        <rFont val="Calibri"/>
        <family val="2"/>
        <scheme val="minor"/>
      </rPr>
      <t xml:space="preserve">Important: </t>
    </r>
    <r>
      <rPr>
        <sz val="12"/>
        <color theme="1"/>
        <rFont val="Calibri"/>
        <family val="2"/>
        <scheme val="minor"/>
      </rPr>
      <t>Children who are 6 years of age may qualify as an eligible child if below applies: 
For 6-year-old children enrolled in a preschool, kindergarten, or family age groups:
• If the child turns 6 years old between January 1 and June 30, they qualify until June 30 of that year. 
• If the child turns 6 years old between July 1 and December 31, they qualify until the end of the month they turn 6 years old.
For 6-year-old children enrolled in primary/junior school-age or junior school-age qualify until the end of the month they turn 6 years old</t>
    </r>
  </si>
  <si>
    <r>
      <t xml:space="preserve">Program staffing
</t>
    </r>
    <r>
      <rPr>
        <b/>
        <sz val="8"/>
        <rFont val="Calibri"/>
        <family val="2"/>
        <scheme val="minor"/>
      </rPr>
      <t>(calculating proration between 0-6 and 6-12)</t>
    </r>
  </si>
  <si>
    <r>
      <t xml:space="preserve">Supervisor 
</t>
    </r>
    <r>
      <rPr>
        <b/>
        <sz val="8"/>
        <rFont val="Calibri"/>
        <family val="2"/>
        <scheme val="minor"/>
      </rPr>
      <t>(calculating proration between 0-6 and 6-12)</t>
    </r>
  </si>
  <si>
    <r>
      <t xml:space="preserve">Accommodations 
</t>
    </r>
    <r>
      <rPr>
        <b/>
        <sz val="8"/>
        <rFont val="Calibri"/>
        <family val="2"/>
        <scheme val="minor"/>
      </rPr>
      <t>(calculating proration between 0-6 and 6-12)</t>
    </r>
  </si>
  <si>
    <r>
      <t xml:space="preserve">Operations 
</t>
    </r>
    <r>
      <rPr>
        <b/>
        <sz val="8"/>
        <rFont val="Calibri"/>
        <family val="2"/>
        <scheme val="minor"/>
      </rPr>
      <t>(calculating proration between 0-6 and 6-12)</t>
    </r>
  </si>
  <si>
    <t>Amount</t>
  </si>
  <si>
    <t>2025 CWELCC Final Reconciliation</t>
  </si>
  <si>
    <t>FP Health Score</t>
  </si>
  <si>
    <t>LIQUIDITY</t>
  </si>
  <si>
    <t>OUTPUT</t>
  </si>
  <si>
    <t>BENCHMARK</t>
  </si>
  <si>
    <t>SCORE RANGE</t>
  </si>
  <si>
    <t>SCORE</t>
  </si>
  <si>
    <t>WEIGHT</t>
  </si>
  <si>
    <t>WEIGHTED-SCORE</t>
  </si>
  <si>
    <t>1. CURRENT RATIO</t>
  </si>
  <si>
    <t>113/215</t>
  </si>
  <si>
    <t>&gt;1.0</t>
  </si>
  <si>
    <t>&lt;0.25 = 0</t>
  </si>
  <si>
    <t>&gt;=0.25 and &lt;1.0 = 50</t>
  </si>
  <si>
    <t>&gt;=1.0 = 100</t>
  </si>
  <si>
    <t>2. LIQUID ASSETS COVERAGE</t>
  </si>
  <si>
    <t>(110+110a+111)/(490-451b)x1/12)</t>
  </si>
  <si>
    <t>&gt;3 months</t>
  </si>
  <si>
    <t>&lt;1 = 0</t>
  </si>
  <si>
    <t>&gt;=1 and &lt;3 = 50</t>
  </si>
  <si>
    <t>&gt;=3 = 100</t>
  </si>
  <si>
    <t>LEVERAGE</t>
  </si>
  <si>
    <t>3. DEBT-TO-ASSET RATIO</t>
  </si>
  <si>
    <t>220/118</t>
  </si>
  <si>
    <t>&lt;0.4</t>
  </si>
  <si>
    <t>&gt;=0.6 = 0</t>
  </si>
  <si>
    <t>&gt;0.4 and &lt;0.6 = 50</t>
  </si>
  <si>
    <t>&lt;=0.4 = 100</t>
  </si>
  <si>
    <t>PROFITABILITY</t>
  </si>
  <si>
    <t>4. NET PROFIT MARGIN</t>
  </si>
  <si>
    <t>500b/330</t>
  </si>
  <si>
    <t>&gt;=6%</t>
  </si>
  <si>
    <t>&lt;0 = 0</t>
  </si>
  <si>
    <t>&gt;=0 and &lt;6% = 75</t>
  </si>
  <si>
    <t>&gt;=6% = 100</t>
  </si>
  <si>
    <t>FINAL SCORE &gt;&gt;&gt;</t>
  </si>
  <si>
    <t>does this effective CWELCC recon</t>
  </si>
  <si>
    <t>ID111</t>
  </si>
  <si>
    <t>Efficiency Measure</t>
  </si>
  <si>
    <t>Non CWELCC</t>
  </si>
  <si>
    <t>Proration</t>
  </si>
  <si>
    <t xml:space="preserve">Recovery of OTEF </t>
  </si>
  <si>
    <t>Reconciliation:</t>
  </si>
  <si>
    <t xml:space="preserve">Total Project Cost </t>
  </si>
  <si>
    <t>CWELCC Eligible 0-6 Age Group Portion</t>
  </si>
  <si>
    <t xml:space="preserve">Less: 6-12 Age Group Portion </t>
  </si>
  <si>
    <t>Less: Covered by Insurance</t>
  </si>
  <si>
    <t>Less: Covered by Landlord</t>
  </si>
  <si>
    <t>OTEF MAJOR CAPITAL</t>
  </si>
  <si>
    <t xml:space="preserve">OTEF OPERATING </t>
  </si>
  <si>
    <t>Application: Memo approval amounts</t>
  </si>
  <si>
    <t>Provider Legal Name:</t>
  </si>
  <si>
    <t>Provider Operating Name:</t>
  </si>
  <si>
    <t>ID113</t>
  </si>
  <si>
    <t>Licence number:</t>
  </si>
  <si>
    <t>Financial Summary</t>
  </si>
  <si>
    <t>Total actual expenses</t>
  </si>
  <si>
    <t>How many months is the financial information for? (include Summer Breaks)</t>
  </si>
  <si>
    <t>Normal Operations</t>
  </si>
  <si>
    <t>Select the best response for your organization for the fiscal year</t>
  </si>
  <si>
    <t>First year of Operations</t>
  </si>
  <si>
    <t xml:space="preserve">Expanded Operations </t>
  </si>
  <si>
    <t>Brampton</t>
  </si>
  <si>
    <t>Mississauga</t>
  </si>
  <si>
    <t>Caledon</t>
  </si>
  <si>
    <t>0-6 Years
CWELCC</t>
  </si>
  <si>
    <t>Over 6 years
NON-CWELCC</t>
  </si>
  <si>
    <t>Component</t>
  </si>
  <si>
    <t>Net Project cost/Total Funding Request</t>
  </si>
  <si>
    <t>OTEF Details</t>
  </si>
  <si>
    <t>Less: Your Cost Share Contribution</t>
  </si>
  <si>
    <t>Total OTEF Funding (CASH)</t>
  </si>
  <si>
    <t>Less: 6-12 Age Group Portion</t>
  </si>
  <si>
    <t>OTEF Spent</t>
  </si>
  <si>
    <t>TOTAL NET ACTUAL PROJECT COST</t>
  </si>
  <si>
    <t>If you have received any of the below grants, complete the appropriate section.</t>
  </si>
  <si>
    <t>2025 Expansion funding</t>
  </si>
  <si>
    <t>Centre-Based and Home-Based (Both)</t>
  </si>
  <si>
    <t>Input Required or Review only</t>
  </si>
  <si>
    <t>Input required</t>
  </si>
  <si>
    <t>A2. Allocation &amp; Operating Plan</t>
  </si>
  <si>
    <t xml:space="preserve">Date of Service Level, if not May 30, 2025: </t>
  </si>
  <si>
    <t>To collect key performance indicators for year end reporting to the province and regional council</t>
  </si>
  <si>
    <t>No Input required</t>
  </si>
  <si>
    <t>2025 CWELCC Cost-Based Funding Announcement</t>
  </si>
  <si>
    <t xml:space="preserve">	2025 CWELCC – Allocation in Lieu of Profit/Surplus Announcement</t>
  </si>
  <si>
    <t xml:space="preserve">	2025 CWELCC One Time Emergency Funding Announcement</t>
  </si>
  <si>
    <t>Extraordinary circumstances</t>
  </si>
  <si>
    <t>Memo approval amounts</t>
  </si>
  <si>
    <t>Adjustments</t>
  </si>
  <si>
    <t>Deferred</t>
  </si>
  <si>
    <t>Capital Grants Funding</t>
  </si>
  <si>
    <t>Expansion Funding</t>
  </si>
  <si>
    <t>CWELCC OTEF - Capital</t>
  </si>
  <si>
    <t>GRAND TOTAL</t>
  </si>
  <si>
    <t>Total Adjustments</t>
  </si>
  <si>
    <t>Total Eligible expenses</t>
  </si>
  <si>
    <t>Amounts</t>
  </si>
  <si>
    <t xml:space="preserve">Total Program Cost Allocation </t>
  </si>
  <si>
    <t>Underspending of CWELCC program cost allocation</t>
  </si>
  <si>
    <t>2025 Program Staff Top-up Funding</t>
  </si>
  <si>
    <t xml:space="preserve">   </t>
  </si>
  <si>
    <t xml:space="preserve">Recovery of OTEF Major Capital </t>
  </si>
  <si>
    <t>Remaining Underspending</t>
  </si>
  <si>
    <t>Underspending from Cost Based funding being used</t>
  </si>
  <si>
    <t>Maximizing Program Cost Allocation (PCA)</t>
  </si>
  <si>
    <t>Available Underspending from PCA</t>
  </si>
  <si>
    <t xml:space="preserve">   One-time Emergency - Operating Funding Expense </t>
  </si>
  <si>
    <t>2025 CWELCC One-Time Emergency Funding - Major Capital</t>
  </si>
  <si>
    <t>2025 CWELCC One-Time Emergency Funding - Operating</t>
  </si>
  <si>
    <t>Funding Received for CWELCC</t>
  </si>
  <si>
    <t>Less: Actual Parent Revenue 0-6</t>
  </si>
  <si>
    <t>Less: Revenue received from Life Learning Day Fees 0-6</t>
  </si>
  <si>
    <t>Less: Child Care Fee Subsidy 0-6</t>
  </si>
  <si>
    <t xml:space="preserve">Step 1 CWELCC Funding Allocated </t>
  </si>
  <si>
    <r>
      <t>ii. Total program cost allocation</t>
    </r>
    <r>
      <rPr>
        <sz val="12"/>
        <color rgb="FFFF0000"/>
        <rFont val="Calibri"/>
        <family val="2"/>
        <scheme val="minor"/>
      </rPr>
      <t xml:space="preserve"> </t>
    </r>
  </si>
  <si>
    <t>i. 4.25% x Step 2a</t>
  </si>
  <si>
    <t xml:space="preserve">         i. Step 2a</t>
  </si>
  <si>
    <t xml:space="preserve">i. Expected base fee revenue offset </t>
  </si>
  <si>
    <r>
      <t>ii. Parental base fee revenue</t>
    </r>
    <r>
      <rPr>
        <b/>
        <sz val="12"/>
        <color rgb="FFFF0000"/>
        <rFont val="Calibri"/>
        <family val="2"/>
        <scheme val="minor"/>
      </rPr>
      <t xml:space="preserve"> </t>
    </r>
  </si>
  <si>
    <t xml:space="preserve">Number of hours of enhanced program support provided (cumulative) </t>
  </si>
  <si>
    <t>Number of CWELCC eligible children that require extra support (cumulative) </t>
  </si>
  <si>
    <t>Total 2025 EPS Expenditure (CWELCC) </t>
  </si>
  <si>
    <r>
      <t>Definition: </t>
    </r>
    <r>
      <rPr>
        <sz val="11"/>
        <color rgb="FF000000"/>
        <rFont val="Aptos"/>
        <family val="2"/>
      </rPr>
      <t> </t>
    </r>
  </si>
  <si>
    <t>Total number of hours of enhanced program support provided in classrooms with CWELCC eligible children. The number of hours must align with the amount of funding spent on enhanced program support.</t>
  </si>
  <si>
    <t>Providers must report their total 2025 CWELCC  EPS expenditures</t>
  </si>
  <si>
    <t>CWELCC Repayable details</t>
  </si>
  <si>
    <t>Make below white font colour</t>
  </si>
  <si>
    <t>2025 Life Long Learning Day on October 24</t>
  </si>
  <si>
    <t>CWELCC : OTEF operating</t>
  </si>
  <si>
    <t>Other - Please Specify</t>
  </si>
  <si>
    <t xml:space="preserve">Recovery </t>
  </si>
  <si>
    <t>Data element required for 0-6 age group</t>
  </si>
  <si>
    <t>Allocation with Actual Base Fee Revenue Offset</t>
  </si>
  <si>
    <t>0-6 Years</t>
  </si>
  <si>
    <t>6-12 Years</t>
  </si>
  <si>
    <t xml:space="preserve">   2025 Life Long Learning Day October - used</t>
  </si>
  <si>
    <t>Rationale for not using May 30,2025 data</t>
  </si>
  <si>
    <t xml:space="preserve">   2025 Non-Base revenue for 0-6</t>
  </si>
  <si>
    <t xml:space="preserve">Rationale and Calculations for Proration.  If overwriting proration formula rationale and calculations are mandatory. </t>
  </si>
  <si>
    <t>Cost of Project (incurred/final):</t>
  </si>
  <si>
    <t>Hide</t>
  </si>
  <si>
    <t>Year-End (e.g. December 31, 2025):</t>
  </si>
  <si>
    <t>Less Base Fee Revenue offset</t>
  </si>
  <si>
    <t>Life Long Learning Day Oct 24</t>
  </si>
  <si>
    <t>Which city does your centre (site) operate in?</t>
  </si>
  <si>
    <t>Add Mortgage Principal</t>
  </si>
  <si>
    <t xml:space="preserve">Important Note input the total expense.  </t>
  </si>
  <si>
    <t>A10. Definition Code</t>
  </si>
  <si>
    <t xml:space="preserve">No Input required </t>
  </si>
  <si>
    <t>Operating spaces for eligible (CWELCC) children (0-6 Yrs)</t>
  </si>
  <si>
    <t>Commercial</t>
  </si>
  <si>
    <t>Place of worship</t>
  </si>
  <si>
    <t>Public School</t>
  </si>
  <si>
    <t>Funding used</t>
  </si>
  <si>
    <t>OTEF Major Capital Funding</t>
  </si>
  <si>
    <t>OTEF Operating Funding</t>
  </si>
  <si>
    <t>The amount spent keeping wages the same for staff whose enhanced hourly wages were less in 2025 due to the change in the GOF order of operations (refer to 5.7 Wage Stability for employees affected by the change in the order of operations of this guideline).</t>
  </si>
  <si>
    <t>For wage stability, you must report the total number of program staff and supervisors serving CWELCC eligible children whose wages were held constant in 2025 because their 2025 hourly wages were less than their 2024 hourly wages due to the change in the wage calculation order of operations (Section 5.7 of this guideline).</t>
  </si>
  <si>
    <t>You must report paid planning time actual expenditures.</t>
  </si>
  <si>
    <t>212a</t>
  </si>
  <si>
    <t>212b</t>
  </si>
  <si>
    <t>451b(i)</t>
  </si>
  <si>
    <t>451o(i)</t>
  </si>
  <si>
    <t>461d</t>
  </si>
  <si>
    <t>461e</t>
  </si>
  <si>
    <t>471(a)</t>
  </si>
  <si>
    <t>471(b)</t>
  </si>
  <si>
    <t>471(c)</t>
  </si>
  <si>
    <t>481(a)</t>
  </si>
  <si>
    <t>481(b)</t>
  </si>
  <si>
    <t>481(c)</t>
  </si>
  <si>
    <t>EXPENSE DETAILS</t>
  </si>
  <si>
    <t>Providers are required to divide out 0-6 and 6-12 expenses for CWELCC reconciliation, you can use actual cost or the proration from tab 2.</t>
  </si>
  <si>
    <t>Has the project been completed as of Dec 31, 2025?</t>
  </si>
  <si>
    <t xml:space="preserve">   2025 CWELCC Cost-Based Funding - used</t>
  </si>
  <si>
    <t xml:space="preserve">   2025 School Age (6-12) Programs - Regional Funding - used</t>
  </si>
  <si>
    <t>1. Child Care Fees</t>
  </si>
  <si>
    <t>2. Nutrition</t>
  </si>
  <si>
    <t>3. Program Staffing</t>
  </si>
  <si>
    <t xml:space="preserve">Total Awarded Budget </t>
  </si>
  <si>
    <t>Financial Summary Description</t>
  </si>
  <si>
    <t>1. Parent Fees</t>
  </si>
  <si>
    <t>2. Lunch &amp; Refreshments</t>
  </si>
  <si>
    <t xml:space="preserve">3. Wages &amp; Mandatory Benefits for extenuating circumstances previously approved by the Region </t>
  </si>
  <si>
    <t>Funding Spent as reported on GovGrants</t>
  </si>
  <si>
    <t>Award Total</t>
  </si>
  <si>
    <t>Total OTEF Funding received in 2025</t>
  </si>
  <si>
    <t xml:space="preserve">Step 2a Actual CWELCC Program Cost based 
</t>
  </si>
  <si>
    <t>Step 2b Add Amount in Lieu of Profit/Surplus based</t>
  </si>
  <si>
    <t>Step 2c Less Actual Base Fee Revenue for 0-6</t>
  </si>
  <si>
    <t>Actual Base Fee Revenue 0-6</t>
  </si>
  <si>
    <t>Input below final Cost of Project</t>
  </si>
  <si>
    <t>Input below final Cost of Project:</t>
  </si>
  <si>
    <t>If approved for OTEF Major Capital, input amounts in green cells from APPROVAL MEMO.</t>
  </si>
  <si>
    <t>If approved for OTEF Operating, input amounts in green cells from APPROVAL MEMO.</t>
  </si>
  <si>
    <t>Memo Approval Amounts</t>
  </si>
  <si>
    <t>Net Actual eligible project costs eligible for OTEF</t>
  </si>
  <si>
    <t>Below amounts are being prepopulated from tab A3. Peel Region Grants</t>
  </si>
  <si>
    <t>A8. GovGrants (GG) input</t>
  </si>
  <si>
    <t xml:space="preserve">A9. Summary of Reconciliations </t>
  </si>
  <si>
    <t>Funding spent on GovGrants split by 0-6 and 6-12</t>
  </si>
  <si>
    <t>GovGrants Budget Category</t>
  </si>
  <si>
    <t>Instructions for EPS</t>
  </si>
  <si>
    <t>Report only the KPIs &amp; expenses associated with enhanced program support staff serving centre-based CWELCC children.</t>
  </si>
  <si>
    <t>EPS funding must be used for staff wages and benefits only</t>
  </si>
  <si>
    <t>EPS staff cannot be included in the minimum ratio requirements and are not eligible for wage enhancements</t>
  </si>
  <si>
    <t>EPS staff must be compensated within Ontario's minimum wage and the hourly wage of the highest-earning non-supervisory RECE staff employed at your centre</t>
  </si>
  <si>
    <t>Enhanced Program Support (EPS) KPIS</t>
  </si>
  <si>
    <t>Funding spent on GovGrants 
split by 0-6 and 6-12</t>
  </si>
  <si>
    <t>Your Cost Share Contribution from Program Cost Allocation</t>
  </si>
  <si>
    <t xml:space="preserve">	2025 School Age (6-12) Programs</t>
  </si>
  <si>
    <t>Regional  OTEF expenses</t>
  </si>
  <si>
    <t xml:space="preserve">Typical hours of service per day </t>
  </si>
  <si>
    <t xml:space="preserve">Total number of CWELCC eligible children with cognitive, physical, social, emotional, communicative or behavioural needs, or whose overall developmental needs require additional support from program staff. </t>
  </si>
  <si>
    <t>Captures provider identification details, including contact information and high-level organizational data.</t>
  </si>
  <si>
    <t>Enables providers to report their year-end financial position based on audited financial statements.</t>
  </si>
  <si>
    <t>Provides the amounts required for year-end reconciliation reporting under the 2025 CWELCC funding streams, including Cost-Based Funding, Allocation in Lieu of Profit/Surplus, and One-Time Emergency Funding announcements.</t>
  </si>
  <si>
    <t xml:space="preserve">i. Total CWELCC eligible expenses </t>
  </si>
  <si>
    <t>451m(i)</t>
  </si>
  <si>
    <t xml:space="preserve">   Transportation</t>
  </si>
  <si>
    <t xml:space="preserve">   Professional Learning Costs </t>
  </si>
  <si>
    <t xml:space="preserve">SALARY COSTS (SALARIES &amp; BENEFITS) </t>
  </si>
  <si>
    <t>Total Actual Cost of Project (maxed to approval amt)</t>
  </si>
  <si>
    <t xml:space="preserve">Total Spent for 0-12 </t>
  </si>
  <si>
    <t>Covered by Insurance</t>
  </si>
  <si>
    <t>Covered by Landlord</t>
  </si>
  <si>
    <t>6-12 Age Group Portion</t>
  </si>
  <si>
    <t>Cost Sharing</t>
  </si>
  <si>
    <t>Less:  One-time Emergency - Operating Funding  - Net Actual eligible project</t>
  </si>
  <si>
    <t xml:space="preserve">Less:  One-time Emergency - Operating Funding - Cost Share Contribution </t>
  </si>
  <si>
    <t>Total Capital Grants Funding</t>
  </si>
  <si>
    <t xml:space="preserve">  Your Cost Share Contribution </t>
  </si>
  <si>
    <t xml:space="preserve">Awarded budget and Funding used on GovGrants can be found on the 2025 Life Long Learning Day on October 24 announcement in GovGrants.  </t>
  </si>
  <si>
    <t>Amount to claim for OTEF in GovGrants</t>
  </si>
  <si>
    <t>GovGrants Budget Categories</t>
  </si>
  <si>
    <t>Awarded budget and Funding used on GovGrants can be found on the 2025 School Age (6-12) Programs announcement in GovGrants</t>
  </si>
  <si>
    <t>GovGrants Input</t>
  </si>
  <si>
    <t>Total 0-6 Years Expense from tab A5. Operations</t>
  </si>
  <si>
    <t>Staff wages and benefits</t>
  </si>
  <si>
    <t>Standardized Financial Report and Annual Attestation for Cost-Based Funding (CBF) - Centres</t>
  </si>
  <si>
    <t>Basic Information</t>
  </si>
  <si>
    <t>Enter basic information in regards to the eligible centre</t>
  </si>
  <si>
    <r>
      <t xml:space="preserve">Licence number </t>
    </r>
    <r>
      <rPr>
        <i/>
        <sz val="10.199999999999999"/>
        <color theme="1"/>
        <rFont val="Arial Nova"/>
        <family val="2"/>
      </rPr>
      <t>(enter exactly how it appears in the Child Care Licensing System):</t>
    </r>
  </si>
  <si>
    <t>A</t>
  </si>
  <si>
    <r>
      <t>Eligible centre name</t>
    </r>
    <r>
      <rPr>
        <i/>
        <sz val="10.199999999999999"/>
        <color theme="1"/>
        <rFont val="Arial Nova"/>
        <family val="2"/>
      </rPr>
      <t>:</t>
    </r>
  </si>
  <si>
    <t>B</t>
  </si>
  <si>
    <r>
      <t xml:space="preserve">Licensee name </t>
    </r>
    <r>
      <rPr>
        <i/>
        <sz val="10.199999999999999"/>
        <color theme="1"/>
        <rFont val="Arial Nova"/>
        <family val="2"/>
      </rPr>
      <t>(enter exactly how it appears in the Child Care Licensing System) :</t>
    </r>
  </si>
  <si>
    <t>C</t>
  </si>
  <si>
    <r>
      <t>CWELCC enrolment date</t>
    </r>
    <r>
      <rPr>
        <i/>
        <sz val="10.199999999999999"/>
        <color theme="1"/>
        <rFont val="Arial Nova"/>
        <family val="2"/>
      </rPr>
      <t xml:space="preserve"> (enter as yyyy-mm-dd)</t>
    </r>
    <r>
      <rPr>
        <sz val="12"/>
        <color theme="1"/>
        <rFont val="Arial Nova"/>
        <family val="2"/>
      </rPr>
      <t>:</t>
    </r>
  </si>
  <si>
    <t>D</t>
  </si>
  <si>
    <r>
      <t>CMSM/DSSAB</t>
    </r>
    <r>
      <rPr>
        <i/>
        <sz val="10.199999999999999"/>
        <color theme="1"/>
        <rFont val="Arial Nova"/>
        <family val="2"/>
      </rPr>
      <t xml:space="preserve"> (select from drop-down)</t>
    </r>
    <r>
      <rPr>
        <sz val="12"/>
        <color theme="1"/>
        <rFont val="Arial Nova"/>
        <family val="2"/>
      </rPr>
      <t>:</t>
    </r>
  </si>
  <si>
    <r>
      <t>EFIS ID</t>
    </r>
    <r>
      <rPr>
        <i/>
        <sz val="10.199999999999999"/>
        <rFont val="Arial Nova"/>
        <family val="2"/>
      </rPr>
      <t xml:space="preserve"> (auto populated)</t>
    </r>
    <r>
      <rPr>
        <sz val="12"/>
        <rFont val="Arial Nova"/>
        <family val="2"/>
      </rPr>
      <t>:</t>
    </r>
  </si>
  <si>
    <t>E</t>
  </si>
  <si>
    <t>Reporting Year:</t>
  </si>
  <si>
    <t>F</t>
  </si>
  <si>
    <t>Operational Information</t>
  </si>
  <si>
    <t>Enter information about the operational reality for the calendar year</t>
  </si>
  <si>
    <t>Total number of service days the centre was open during the calendar year</t>
  </si>
  <si>
    <t>1OP</t>
  </si>
  <si>
    <r>
      <t xml:space="preserve">Actual Number of 
</t>
    </r>
    <r>
      <rPr>
        <b/>
        <sz val="12"/>
        <color theme="1"/>
        <rFont val="Arial Nova"/>
        <family val="2"/>
      </rPr>
      <t>Operating</t>
    </r>
    <r>
      <rPr>
        <sz val="12"/>
        <color theme="1"/>
        <rFont val="Arial Nova"/>
        <family val="2"/>
      </rPr>
      <t xml:space="preserve"> space-days for the calendar year</t>
    </r>
  </si>
  <si>
    <r>
      <t xml:space="preserve">Actual Number of 
</t>
    </r>
    <r>
      <rPr>
        <b/>
        <sz val="12"/>
        <color theme="1"/>
        <rFont val="Arial Nova"/>
        <family val="2"/>
      </rPr>
      <t>Licensed</t>
    </r>
    <r>
      <rPr>
        <sz val="12"/>
        <color theme="1"/>
        <rFont val="Arial Nova"/>
        <family val="2"/>
      </rPr>
      <t xml:space="preserve"> space-days for the calendar year</t>
    </r>
  </si>
  <si>
    <t xml:space="preserve">Infant </t>
  </si>
  <si>
    <t>2OP</t>
  </si>
  <si>
    <t>8OP</t>
  </si>
  <si>
    <t xml:space="preserve">Toddler </t>
  </si>
  <si>
    <t>3OP</t>
  </si>
  <si>
    <t>9OP</t>
  </si>
  <si>
    <t>4OP</t>
  </si>
  <si>
    <t>10OP</t>
  </si>
  <si>
    <t>Kindergarten</t>
  </si>
  <si>
    <t>5OP</t>
  </si>
  <si>
    <t>11OP</t>
  </si>
  <si>
    <t>Family Age Group</t>
  </si>
  <si>
    <t>6OP</t>
  </si>
  <si>
    <t>12OP</t>
  </si>
  <si>
    <t>School Age</t>
  </si>
  <si>
    <t>7OP</t>
  </si>
  <si>
    <t>13OP</t>
  </si>
  <si>
    <t>Financial Information</t>
  </si>
  <si>
    <t>Actual Base Fee Revenue Offset</t>
  </si>
  <si>
    <t>Enter the base fee revenue related to eligible children earned by the eligible centre during the calendar year</t>
  </si>
  <si>
    <t>Actual Base Fee Revenue from Parents</t>
  </si>
  <si>
    <t>1FIN</t>
  </si>
  <si>
    <t>Actual Base Fee Revenue from Fee Subsidies</t>
  </si>
  <si>
    <t>2FIN</t>
  </si>
  <si>
    <t>Actual Program Costs</t>
  </si>
  <si>
    <t>Enter the sum of all eligible costs (attributable, appropriate and reasonable) incurred during the calendar year in respect of the eligible centre</t>
  </si>
  <si>
    <t xml:space="preserve"> and net of any cost funded by another public source or reimbursed by another source</t>
  </si>
  <si>
    <t>Eligible Cost</t>
  </si>
  <si>
    <t>Program Staff</t>
  </si>
  <si>
    <t>Actual Program Staffing, Wages by Employer</t>
  </si>
  <si>
    <t>3FIN</t>
  </si>
  <si>
    <t>Actual Program Staffing, WEG and Workforce Compensation</t>
  </si>
  <si>
    <t>4FIN</t>
  </si>
  <si>
    <t>Actual Program Staffing, Employee Statutory Obligations</t>
  </si>
  <si>
    <t>5FIN</t>
  </si>
  <si>
    <t>Actual Program Staffing, Employee Supplementary Benefits</t>
  </si>
  <si>
    <t>6FIN</t>
  </si>
  <si>
    <t>Actual Program Staffing, Other Costs</t>
  </si>
  <si>
    <t>7FIN</t>
  </si>
  <si>
    <t>Actual Program Staffing, Average Paid Vacation and Sick Days</t>
  </si>
  <si>
    <t>8FIN</t>
  </si>
  <si>
    <t>Supervisors</t>
  </si>
  <si>
    <t>Actual Supervisor, Wages by Employer</t>
  </si>
  <si>
    <t>9FIN</t>
  </si>
  <si>
    <t>Actual Supervisor, WEG and Workforce Compensation</t>
  </si>
  <si>
    <t>10FIN</t>
  </si>
  <si>
    <t>Actual Supervisor, Employee Statutory Obligations</t>
  </si>
  <si>
    <t>11FIN</t>
  </si>
  <si>
    <t>Actual Supervisor, Employee Supplementary Benefits</t>
  </si>
  <si>
    <t>12FIN</t>
  </si>
  <si>
    <t>Actual Supervisor, Other Costs</t>
  </si>
  <si>
    <t>13FIN</t>
  </si>
  <si>
    <t>Actual Supervisor, Average Paid Vacation and Sick Days</t>
  </si>
  <si>
    <t>14FIN</t>
  </si>
  <si>
    <t>Actual Accommodation, Mortgage Payment (include interest and principal)</t>
  </si>
  <si>
    <t>15FIN</t>
  </si>
  <si>
    <t>Actual Accommodation, Occupancy Costs (for example, rent or lease)</t>
  </si>
  <si>
    <t>16FIN</t>
  </si>
  <si>
    <t>Actual Accommodation, Amortization of Facilities (for example, leasehold improvements or other)</t>
  </si>
  <si>
    <t>17FIN</t>
  </si>
  <si>
    <t>Actual Accommodation, Property Taxes</t>
  </si>
  <si>
    <t>18FIN</t>
  </si>
  <si>
    <t>Actual Accommodation, Other</t>
  </si>
  <si>
    <t>19FIN</t>
  </si>
  <si>
    <t>Actual Operation, Salaries and Benefits for Staff, excluding Program Staff and Supervisor(s)</t>
  </si>
  <si>
    <t>20FIN</t>
  </si>
  <si>
    <t>Actual Operation, Bonuses for Staff, excluding Program Staff and Supervisor(s)</t>
  </si>
  <si>
    <t>21FIN</t>
  </si>
  <si>
    <t>Actual Operation, Food and Catering</t>
  </si>
  <si>
    <t>22FIN</t>
  </si>
  <si>
    <t>Actual Operation, Utilities, Insurance, and Other Services (for example, internet, phones, marketing)</t>
  </si>
  <si>
    <t>23FIN</t>
  </si>
  <si>
    <t>Actual Operation, Toys, Materials, and Other Goods</t>
  </si>
  <si>
    <t>24FIN</t>
  </si>
  <si>
    <t>Actual Operation, Minor Repairs and Maintenance</t>
  </si>
  <si>
    <t>25FIN</t>
  </si>
  <si>
    <t>Actual Operation, Interest and Bank Charges (excluding mortgage interest)</t>
  </si>
  <si>
    <t>26FIN</t>
  </si>
  <si>
    <t>Actual Operation, Principal on Debt (for example, bonds, debentures, long-term debt)</t>
  </si>
  <si>
    <t>27FIN</t>
  </si>
  <si>
    <t>Actual Operation, Other</t>
  </si>
  <si>
    <t>28FIN</t>
  </si>
  <si>
    <t>= Total sum of all eligible costs incurred for the eligible centre, BEFORE one-time, unexpected costs</t>
  </si>
  <si>
    <t>Actual Cost Covered as per Approved One-Time, Unexpected Cost</t>
  </si>
  <si>
    <t>29FIN</t>
  </si>
  <si>
    <t>= Total sum of all eligible costs incurred for the eligible centre, AFTER one-time, unexpected costs</t>
  </si>
  <si>
    <t>30FIN</t>
  </si>
  <si>
    <t>Contact name for SFR (use first and last name)</t>
  </si>
  <si>
    <t>Phone number for SFR contact</t>
  </si>
  <si>
    <t>Email address for SFR contact</t>
  </si>
  <si>
    <t>1C</t>
  </si>
  <si>
    <t>2C</t>
  </si>
  <si>
    <t>3C</t>
  </si>
  <si>
    <t>Annual Attestation</t>
  </si>
  <si>
    <t>SFR Signing Officer (use first and last name)</t>
  </si>
  <si>
    <t>4C</t>
  </si>
  <si>
    <t xml:space="preserve">Signature: </t>
  </si>
  <si>
    <t>SFR Sign-off Date</t>
  </si>
  <si>
    <t>5C</t>
  </si>
  <si>
    <t xml:space="preserve">
</t>
  </si>
  <si>
    <t>Basic information in regards to the eligible centre (pre-populated from previous tab)</t>
  </si>
  <si>
    <t>CMSM/DSSAB:</t>
  </si>
  <si>
    <t>Reporting Year</t>
  </si>
  <si>
    <t>Step 1: Funding Provided</t>
  </si>
  <si>
    <t>Enter the disbursements made to Licensee during the calendar year in respect of Cost-Based Funding Allocation</t>
  </si>
  <si>
    <r>
      <t xml:space="preserve">Disbursements to eligible centre in respect to Cost-Based Funding, </t>
    </r>
    <r>
      <rPr>
        <u/>
        <sz val="12"/>
        <color theme="1"/>
        <rFont val="Arial Nova"/>
        <family val="2"/>
      </rPr>
      <t>reflective of any agreed upon reductions and net of in-year recoveries</t>
    </r>
  </si>
  <si>
    <t>1YND</t>
  </si>
  <si>
    <t>Disbursements to eligible centre in respect to One-Time, Unexpected Costs</t>
  </si>
  <si>
    <t>2YND</t>
  </si>
  <si>
    <t>Enter the eligible centre's elements of the Cost-Based Funding Allocation (or notional allocation), include any in-year adjustments.</t>
  </si>
  <si>
    <t>These amounts are typically included in service agreements between the licensee and the CMSM/DSSAB</t>
  </si>
  <si>
    <t>Benchmark Allocation</t>
  </si>
  <si>
    <t>3YND</t>
  </si>
  <si>
    <t>Legacy Top-up Allocation</t>
  </si>
  <si>
    <t>4YND</t>
  </si>
  <si>
    <t>Growth Top-up Allocation</t>
  </si>
  <si>
    <t>5YND</t>
  </si>
  <si>
    <t>= Program Costs Allocation</t>
  </si>
  <si>
    <t>Allocation in Lieu of Profit/Surplus</t>
  </si>
  <si>
    <t>6YND</t>
  </si>
  <si>
    <t>Expected Base Fee Revenue Offset (enter as negative number)</t>
  </si>
  <si>
    <t>7YND</t>
  </si>
  <si>
    <t>= Cost-Based Funding Allocation</t>
  </si>
  <si>
    <t>Approved one-time, unexpected cost</t>
  </si>
  <si>
    <t>8YND</t>
  </si>
  <si>
    <t>Step 2: Actual Program Costs</t>
  </si>
  <si>
    <t>Calculate the Actual Program Costs as the lesser of the total sum of all eligible costs incurred for the eligible centre and the Program Costs Allocation</t>
  </si>
  <si>
    <t>Total sum of all eligible costs incurred for the eligible centre, before one-time, unexpected costs</t>
  </si>
  <si>
    <t>vs. Program Costs Allocation</t>
  </si>
  <si>
    <t xml:space="preserve">= Actual Program Costs </t>
  </si>
  <si>
    <t>9YND</t>
  </si>
  <si>
    <t>Step 3: Actual Amount in Lieu of Profit/Surplus</t>
  </si>
  <si>
    <t>Calculate the Actual Amount in Lieu of Profit/Surplus based on the Actual Program Costs (from Step 2)</t>
  </si>
  <si>
    <t>Base rate amount of 4.25% applied to the Actual Program Cost</t>
  </si>
  <si>
    <t>Plus, premium rate amount of 3.5% applied to the lesser of the Actual Program Cost and the benchmark allocation portion of the Program Cost Allocation</t>
  </si>
  <si>
    <t>Plus, a flat amount of $6,000 prorated by the whole number of months (partial or full) in the calendar year in which the eligible centre participated in CWELCC, divided by 12</t>
  </si>
  <si>
    <t>= Actual Amount in Lieu of Profit Surplus</t>
  </si>
  <si>
    <t>10YND</t>
  </si>
  <si>
    <t>Step 4: Actual Base Fee Revenue Offset</t>
  </si>
  <si>
    <t>Calculate the Actual Base Fee Revenue Offset</t>
  </si>
  <si>
    <t>Base fee revenue - from parent/guardians</t>
  </si>
  <si>
    <t>Base fee revenue - from fee subsidies</t>
  </si>
  <si>
    <t>vs. Expected Base Fee Revenue Offset</t>
  </si>
  <si>
    <t>= Actual Base Fee Revenue</t>
  </si>
  <si>
    <t>11YND</t>
  </si>
  <si>
    <t>Step 5: Actual Cost-Based Funding</t>
  </si>
  <si>
    <t xml:space="preserve">Calculate Actual Cost-Based Funding </t>
  </si>
  <si>
    <t>Plus Actual Amount in Lieu of Profit Surplus</t>
  </si>
  <si>
    <t>Minus Actual Base Fee Revenue</t>
  </si>
  <si>
    <t>= Actual Cost-Based Funding</t>
  </si>
  <si>
    <t>12YND</t>
  </si>
  <si>
    <t>Step 6: Overpayment</t>
  </si>
  <si>
    <t>Calculate any overpayment payable to the CMSM/DSSAB in respect to Cost-Based Funding</t>
  </si>
  <si>
    <t xml:space="preserve">Disbursements to eligible centre in respect to Cost-Based Funding, net of any in-year recoveries </t>
  </si>
  <si>
    <t>Actual Cost-Based Funding</t>
  </si>
  <si>
    <t>14YND</t>
  </si>
  <si>
    <t>Calculate any overpayment payable to the CMSM/DSSAB in respect to approved one-time, unexpected costs</t>
  </si>
  <si>
    <t>Cost incurred covered by approved one-time, unexpected cost</t>
  </si>
  <si>
    <t>vs. Approved one-time, unexpected cost</t>
  </si>
  <si>
    <t>Actual Cost to be covered by approved one-time, unexpected cost</t>
  </si>
  <si>
    <t>13YND</t>
  </si>
  <si>
    <t>vs. Disbursements to eligible centre in respect to one-time, unexpected costs</t>
  </si>
  <si>
    <t>15YND</t>
  </si>
  <si>
    <t>Calculate total overpayment payable to the CMSM/DSSAB</t>
  </si>
  <si>
    <t>Step 7: Rolling Top-Up Ratio</t>
  </si>
  <si>
    <t>Calculate Rolling Top-Up Ratio (applicable to existing spaces for 2026 CBF Allocation)</t>
  </si>
  <si>
    <t xml:space="preserve">Actual Program Costs </t>
  </si>
  <si>
    <t>16YND</t>
  </si>
  <si>
    <t>Provide the date when CMSD/DSSAB closed-off the year-end reconciliation with the licensee</t>
  </si>
  <si>
    <t>17YND</t>
  </si>
  <si>
    <t>EFISID </t>
  </si>
  <si>
    <t>LicenceNumber </t>
  </si>
  <si>
    <t>CentreName </t>
  </si>
  <si>
    <t>LicenseeName </t>
  </si>
  <si>
    <t>EnrolmentDate </t>
  </si>
  <si>
    <t>RepYear</t>
  </si>
  <si>
    <t>Contact </t>
  </si>
  <si>
    <t>ContactNumber </t>
  </si>
  <si>
    <t>ContactEmail </t>
  </si>
  <si>
    <t>SignOfficer </t>
  </si>
  <si>
    <t>SignDate </t>
  </si>
  <si>
    <t>ActTtlAHDays </t>
  </si>
  <si>
    <t>FeeRevParents </t>
  </si>
  <si>
    <t>FeeRevSubsds </t>
  </si>
  <si>
    <t>Op1S&amp;BOther </t>
  </si>
  <si>
    <t>Op2Bonuses </t>
  </si>
  <si>
    <t>Op3Food </t>
  </si>
  <si>
    <t>Op4Serv </t>
  </si>
  <si>
    <t>Op5Goods </t>
  </si>
  <si>
    <t>Op6Rep&amp;Main </t>
  </si>
  <si>
    <t>Op7DebtFincng </t>
  </si>
  <si>
    <t>Op8DebtPrncpl </t>
  </si>
  <si>
    <t>Op9Other </t>
  </si>
  <si>
    <t>OTC </t>
  </si>
  <si>
    <t>SNR</t>
  </si>
  <si>
    <t>DisbCBF </t>
  </si>
  <si>
    <t>DisbOTC </t>
  </si>
  <si>
    <t>AllocBMK </t>
  </si>
  <si>
    <t>AllocLTU </t>
  </si>
  <si>
    <t>AllocGTU </t>
  </si>
  <si>
    <t>AllocProfSurp </t>
  </si>
  <si>
    <t>AllocExpFeeRev </t>
  </si>
  <si>
    <t>AllocOTC </t>
  </si>
  <si>
    <t>ActPrgrmCosts </t>
  </si>
  <si>
    <t>ActP/S </t>
  </si>
  <si>
    <t>ActRevOffset </t>
  </si>
  <si>
    <t>ActCBF </t>
  </si>
  <si>
    <t>ActOTCost </t>
  </si>
  <si>
    <t>DueToFromSSMCBF </t>
  </si>
  <si>
    <t>DueToFromSSMOTC </t>
  </si>
  <si>
    <t>YNDFinDate</t>
  </si>
  <si>
    <t>Program Staff Total</t>
  </si>
  <si>
    <t>Other Staff Wages</t>
  </si>
  <si>
    <t>Other - please specify</t>
  </si>
  <si>
    <t xml:space="preserve">   Interest (excluding mortgage interest)</t>
  </si>
  <si>
    <t>Licence number (enter exactly how it appears in the Child Care Licensing System)</t>
  </si>
  <si>
    <t>Licensee name (enter exactly how it appears in the Child Care Licensing System)</t>
  </si>
  <si>
    <t>Regional Municipality of Peel </t>
  </si>
  <si>
    <t>CWELCC enrolment date (enter as yyyy-mm-dd):</t>
  </si>
  <si>
    <t>Contact info: (use first and last name)</t>
  </si>
  <si>
    <t>Phone number for contact</t>
  </si>
  <si>
    <t>Email address  for contact</t>
  </si>
  <si>
    <t>Signing Officer (first and last name)</t>
  </si>
  <si>
    <t>Sign-off Date</t>
  </si>
  <si>
    <t>Tab</t>
  </si>
  <si>
    <t>FOR REVIEW ONLY</t>
  </si>
  <si>
    <t>Actual Management Salaries &amp; Benefits (excluding management fee)</t>
  </si>
  <si>
    <t>= Rolling Top-up Ratio for 2026</t>
  </si>
  <si>
    <t>2025 CWELCC Cost-Based Funding - used and 2025 CWELCC – Allocation in Lieu of Profit/Surplus - used, are adjusted as expenses are entered below.</t>
  </si>
  <si>
    <t>ActOperS-DInf </t>
  </si>
  <si>
    <t>ActOperS-DTod </t>
  </si>
  <si>
    <t>ActOperS-DPSch </t>
  </si>
  <si>
    <t>ActOperS-DKin </t>
  </si>
  <si>
    <t>ActOperS-DFA </t>
  </si>
  <si>
    <t>ActOperS-DSchA </t>
  </si>
  <si>
    <t>ActLiceS-DInf </t>
  </si>
  <si>
    <t>ActLiceS-DTod </t>
  </si>
  <si>
    <t>ActLiceS-DPSch </t>
  </si>
  <si>
    <t>ActLiceS-DKin </t>
  </si>
  <si>
    <t>ActLiceS-DFA </t>
  </si>
  <si>
    <t>ActLiceS-DSchA </t>
  </si>
  <si>
    <t>PS1Wages </t>
  </si>
  <si>
    <t>PS2WEnh </t>
  </si>
  <si>
    <t>PS3BenStat </t>
  </si>
  <si>
    <t>PS4BenSupp </t>
  </si>
  <si>
    <t>PS9Other </t>
  </si>
  <si>
    <t>PS99VacSckDays </t>
  </si>
  <si>
    <t>S1Wages </t>
  </si>
  <si>
    <t>S2WEnh </t>
  </si>
  <si>
    <t>S3BenStat </t>
  </si>
  <si>
    <t>S4BenSupp </t>
  </si>
  <si>
    <t>S9Other </t>
  </si>
  <si>
    <t>S99VacSckDays </t>
  </si>
  <si>
    <t>Acc1Mort </t>
  </si>
  <si>
    <t>Acc2Occ </t>
  </si>
  <si>
    <t>Acc3Amort </t>
  </si>
  <si>
    <t>Acc4PrprtTx </t>
  </si>
  <si>
    <t>Acc9Other </t>
  </si>
  <si>
    <t>RollTopUpRatio </t>
  </si>
  <si>
    <t>Centre-Based, Home-Based or both:</t>
  </si>
  <si>
    <t>Average Paid Vacation and Sick Days</t>
  </si>
  <si>
    <t>A11.Licensee's SFR&amp; Attestation</t>
  </si>
  <si>
    <t>A12. YND Reconciliation</t>
  </si>
  <si>
    <t>300a</t>
  </si>
  <si>
    <t>300b</t>
  </si>
  <si>
    <t>300c</t>
  </si>
  <si>
    <t>300d</t>
  </si>
  <si>
    <t>300e</t>
  </si>
  <si>
    <t>300f</t>
  </si>
  <si>
    <t>300g</t>
  </si>
  <si>
    <t>300h</t>
  </si>
  <si>
    <t>ID105</t>
  </si>
  <si>
    <t>ID106</t>
  </si>
  <si>
    <t>ID110</t>
  </si>
  <si>
    <t>A5. Financial Position</t>
  </si>
  <si>
    <t>A7. 2025 CWELCC &amp; OTEF Recon</t>
  </si>
  <si>
    <t>ID112</t>
  </si>
  <si>
    <t xml:space="preserve">Input yellow highlighted amounts in your GovGrants announcements.  </t>
  </si>
  <si>
    <t>411e</t>
  </si>
  <si>
    <t>411f</t>
  </si>
  <si>
    <t>411h</t>
  </si>
  <si>
    <t>411i</t>
  </si>
  <si>
    <t>411j</t>
  </si>
  <si>
    <t>411k</t>
  </si>
  <si>
    <t>411l</t>
  </si>
  <si>
    <t>411m</t>
  </si>
  <si>
    <t>411n</t>
  </si>
  <si>
    <t>411o</t>
  </si>
  <si>
    <t>411p</t>
  </si>
  <si>
    <t>411q</t>
  </si>
  <si>
    <t>411r</t>
  </si>
  <si>
    <t>ID114</t>
  </si>
  <si>
    <t>Attestation</t>
  </si>
  <si>
    <t>Tab A11 and A12 collects financial data required to complete the Standardized Financial Report (SFR) as mandated by the Ministry of Education. The information gathered ensures compliance with provincial reporting standards and supports accurate funding and accountability processes.</t>
  </si>
  <si>
    <t>CWELCC</t>
  </si>
  <si>
    <t>Refer to your 2025 Program Staff reconciliation and input below amounts from part 4</t>
  </si>
  <si>
    <t>&lt;---- Click here to expand or collapse section</t>
  </si>
  <si>
    <t>NOTE DISCLOSURE FOR FINANCIAL STATEMENTS</t>
  </si>
  <si>
    <t>2024 &amp; 2025 Expansion funding  (Start up projects &amp; 2025 ELCCI Funding in GovGrants)</t>
  </si>
  <si>
    <t xml:space="preserve">   2025 One-time Emergency Funding - Operating - used</t>
  </si>
  <si>
    <t xml:space="preserve">   2025 Program Staff top up - used</t>
  </si>
  <si>
    <t>OTHER INELIGIBLE EXPENSES for 0-6 FAMILIES - Do not include these expenses in above Expenses</t>
  </si>
  <si>
    <t>Average number of paid sick days and paid vacation days that supervisors were entitled to in the reporting year as per their employment contracts</t>
  </si>
  <si>
    <t xml:space="preserve">Actual Non Program staff wages Salaries and Benefits </t>
  </si>
  <si>
    <t>Actual Non Program staff wages bonuses</t>
  </si>
  <si>
    <t>Actual Management Bonuses (excluding management fee)</t>
  </si>
  <si>
    <t xml:space="preserve">Click on the plus sign beside the row numbers to expand section or negative sign to collapse the section. </t>
  </si>
  <si>
    <t>Providers must input both the allocated amounts and actual expenditures for each applicable regional grant. Information entered in this tab automatically populates corresponding fields in tabs  A5, A6,A7, A8, and A9 to facilitate streamlined reporting. For additional guidance, refer to tab A3.</t>
  </si>
  <si>
    <t>Providers must report the funds received, funds spent, amounts repayable to Peel, and deferred revenue for all Peel Region grants not listed in tab 3A. Grants listed in tab A3 are linked directly to tab A9. All reported amounts must align with the note disclosures in the audited financial statements, in accordance with new accounting reporting requirements.</t>
  </si>
  <si>
    <r>
      <t xml:space="preserve">Instructions:  </t>
    </r>
    <r>
      <rPr>
        <b/>
        <sz val="11"/>
        <color theme="1"/>
        <rFont val="Calibri"/>
        <family val="2"/>
        <scheme val="minor"/>
      </rPr>
      <t>Input data in green cells only.  Enter the service level data for the site as of May 30, 2</t>
    </r>
    <r>
      <rPr>
        <b/>
        <sz val="11"/>
        <rFont val="Calibri"/>
        <family val="2"/>
        <scheme val="minor"/>
      </rPr>
      <t>025 (benchmark allocations based on May 30 data)</t>
    </r>
    <r>
      <rPr>
        <b/>
        <sz val="11"/>
        <color theme="1"/>
        <rFont val="Calibri"/>
        <family val="2"/>
        <scheme val="minor"/>
      </rPr>
      <t>.  If not using service level data as of May 30, 2025, below provide the date for service level data and reasoning for not using May 30, 2025.</t>
    </r>
  </si>
  <si>
    <t xml:space="preserve">   2025 CWELCC – Allocation in Lieu of Profit/Surplus </t>
  </si>
  <si>
    <t xml:space="preserve">   2025 Child Care Fee Subsidy received from Peel</t>
  </si>
  <si>
    <t>Amortization for Capital Assets (Eligible for Cost-Based funding)</t>
  </si>
  <si>
    <t>Amortization for Capital Assets (Ineligible for Cost-Based Funding)</t>
  </si>
  <si>
    <t xml:space="preserve">2025 Canada-wide early learning and child care (CWELCC) funding guideline </t>
  </si>
  <si>
    <t>Link to video walkthrough:</t>
  </si>
  <si>
    <t>Link to 2025 CWELCC guideline:</t>
  </si>
  <si>
    <r>
      <rPr>
        <b/>
        <sz val="16"/>
        <color theme="4" tint="-0.249977111117893"/>
        <rFont val="Calibri"/>
        <family val="2"/>
        <scheme val="minor"/>
      </rPr>
      <t>2025 Life Long Learning Day October:</t>
    </r>
    <r>
      <rPr>
        <b/>
        <sz val="12"/>
        <color theme="4" tint="-0.249977111117893"/>
        <rFont val="Calibri"/>
        <family val="2"/>
        <scheme val="minor"/>
      </rPr>
      <t xml:space="preserve"> </t>
    </r>
    <r>
      <rPr>
        <b/>
        <sz val="12"/>
        <color theme="1"/>
        <rFont val="Calibri"/>
        <family val="2"/>
        <scheme val="minor"/>
      </rPr>
      <t>If you received this funding, providers must input a breakdown of parent fees between age groups 0–6 and 6–12. Revenue attributed to children aged 0–6 is added to parental revenue for CWELCC entitlement calculations on tabs A6 and A7. The remaining revenue is allocated to the 6–12 age group on tab A6. Expenses associated with the 0–6 age group are used to reconcile CWELCC funding. The amounts entered also update the Summary of Reconciliations on tab A9.</t>
    </r>
  </si>
  <si>
    <r>
      <rPr>
        <b/>
        <sz val="16"/>
        <color theme="4" tint="-0.249977111117893"/>
        <rFont val="Calibri"/>
        <family val="2"/>
        <scheme val="minor"/>
      </rPr>
      <t>2025 Program Staff Top-up Funding:</t>
    </r>
    <r>
      <rPr>
        <b/>
        <sz val="16"/>
        <color theme="1"/>
        <rFont val="Calibri"/>
        <family val="2"/>
        <scheme val="minor"/>
      </rPr>
      <t xml:space="preserve"> </t>
    </r>
    <r>
      <rPr>
        <b/>
        <sz val="12"/>
        <color theme="1"/>
        <rFont val="Calibri"/>
        <family val="2"/>
        <scheme val="minor"/>
      </rPr>
      <t xml:space="preserve"> Input is required to separate the 2025 Program Staff Top-up portion from total salary expenses for age groups 0–6 years and 6–12 years in tab A6. The grant is added to the revenue section in tab A6, and related expenses entered under the 0–6 years column will be deducted from CWELCC-eligible expenses. All entries will automatically update the Summary of Reconciliations in tab A9.</t>
    </r>
  </si>
  <si>
    <r>
      <rPr>
        <b/>
        <sz val="16"/>
        <color theme="4" tint="-0.249977111117893"/>
        <rFont val="Calibri"/>
        <family val="2"/>
        <scheme val="minor"/>
      </rPr>
      <t>2025 School Age (6-12):</t>
    </r>
    <r>
      <rPr>
        <b/>
        <sz val="16"/>
        <color theme="1"/>
        <rFont val="Calibri"/>
        <family val="2"/>
        <scheme val="minor"/>
      </rPr>
      <t xml:space="preserve">  </t>
    </r>
    <r>
      <rPr>
        <b/>
        <sz val="12"/>
        <color theme="1"/>
        <rFont val="Calibri"/>
        <family val="2"/>
        <scheme val="minor"/>
      </rPr>
      <t>Input required to populate the revenue section for A6 and Summary of Reconciliations on tab 9.</t>
    </r>
  </si>
  <si>
    <t>DEFERRED CONTRIBUTION FROM PEEL - OTEF Major Capital</t>
  </si>
  <si>
    <t>DEFERRED CONTRIBUTION FROM PEEL - Expansion funding</t>
  </si>
  <si>
    <r>
      <rPr>
        <b/>
        <sz val="16"/>
        <color theme="4" tint="-0.249977111117893"/>
        <rFont val="Calibri"/>
        <family val="2"/>
        <scheme val="minor"/>
      </rPr>
      <t>2025 CWELCC One Time Emergency Funding (OTEF) - Major Capital:</t>
    </r>
    <r>
      <rPr>
        <b/>
        <sz val="12"/>
        <color theme="4" tint="-0.249977111117893"/>
        <rFont val="Calibri"/>
        <family val="2"/>
        <scheme val="minor"/>
      </rPr>
      <t xml:space="preserve">  </t>
    </r>
    <r>
      <rPr>
        <b/>
        <sz val="12"/>
        <color theme="1"/>
        <rFont val="Calibri"/>
        <family val="2"/>
        <scheme val="minor"/>
      </rPr>
      <t>Input required to calculate recoveries of OTEF.  OTEF Major Capital section deferred contribution is prepopulated on tab A5 and GovGrants input is tab A8. The amounts entered also update the Summary of Reconciliations on tab A9.</t>
    </r>
  </si>
  <si>
    <t>Deferred Contribution</t>
  </si>
  <si>
    <t xml:space="preserve">No input required, 
unless funding received from Peel is missing from the prepopulated list. </t>
  </si>
  <si>
    <t xml:space="preserve"> </t>
  </si>
  <si>
    <t xml:space="preserve">What type of building do you operate in? </t>
  </si>
  <si>
    <t xml:space="preserve">   2025 Base Fee Revenue Collected from Parents </t>
  </si>
  <si>
    <t>Actual Program Staffing, Workforce Compensation</t>
  </si>
  <si>
    <t>Actual Supervisor, Workforce Compensation</t>
  </si>
  <si>
    <t>Actual Controlling Owner/Directors or trustees Salaries &amp; Benefits (excluding management fee)</t>
  </si>
  <si>
    <t>Actual Controlling Owner/Directors or trustees bonuses (excluding management fee)</t>
  </si>
  <si>
    <t>5. General Admin Expense Ratio</t>
  </si>
  <si>
    <t>Total General Admin/Total Expense</t>
  </si>
  <si>
    <t xml:space="preserve">Review this tab. 
</t>
  </si>
  <si>
    <t>Report any funding not prepopulated</t>
  </si>
  <si>
    <t>411fg</t>
  </si>
  <si>
    <t>411s</t>
  </si>
  <si>
    <t>411t</t>
  </si>
  <si>
    <t>411u</t>
  </si>
  <si>
    <t>411v</t>
  </si>
  <si>
    <t>Actual Supervisor, Other Costs  - please specify</t>
  </si>
  <si>
    <t>Actual Program Staffing, Other Costs - please specify</t>
  </si>
  <si>
    <t>Enter information related to your Statement of Operations in green highlighted cells</t>
  </si>
  <si>
    <t>451r</t>
  </si>
  <si>
    <t>451q</t>
  </si>
  <si>
    <t xml:space="preserve">   Other Regional Grants  - please specify </t>
  </si>
  <si>
    <t xml:space="preserve">   Other Revenue  - please specify  </t>
  </si>
  <si>
    <t xml:space="preserve">Total Eligible Program Cost with OTEF adjustment </t>
  </si>
  <si>
    <t>Program Cost Allocation used for OTEF eligible costs</t>
  </si>
  <si>
    <t>300i</t>
  </si>
  <si>
    <t>300j</t>
  </si>
  <si>
    <t>465a</t>
  </si>
  <si>
    <t>Less:   Professional Dues</t>
  </si>
  <si>
    <t xml:space="preserve">Funds Received </t>
  </si>
  <si>
    <t>Deferred Contribution for OTEF</t>
  </si>
  <si>
    <t xml:space="preserve">
Average number of paid sick days and paid vacation days that program staffing were entitled to in the reporting year as per their employment contracts</t>
  </si>
  <si>
    <t>OTEF Operating Reconciliation with Program Cost Funding adjustment details</t>
  </si>
  <si>
    <t>Input funds received from your expansion announcement.  This is not the reconciliation for this funding. If project is not completed, input the funding used as of Dec 31, 2025.</t>
  </si>
  <si>
    <t>WCF (0-6) KPIs</t>
  </si>
  <si>
    <t>Data Element Required</t>
  </si>
  <si>
    <t>Wage Stability (0-6) KPIs</t>
  </si>
  <si>
    <t>Paid Planning Time (0-6) KPIs</t>
  </si>
  <si>
    <t>Number of individuals who were supported using funded planning time. Each individual is counted once.</t>
  </si>
  <si>
    <t>Professional Learning Cost (0-6) KPIs</t>
  </si>
  <si>
    <t>Actual professional learning costs expenditures</t>
  </si>
  <si>
    <t>You must report your professional learning costs actual expenditures.</t>
  </si>
  <si>
    <t>Count of total individuals supported under professional learning funding</t>
  </si>
  <si>
    <t>For professional learning costs, you must report the number of individuals whose professional learning cost were supported using the funding. Each individual is counted once.</t>
  </si>
  <si>
    <t>WEG (0-6) KPIs</t>
  </si>
  <si>
    <r>
      <t>Definition: </t>
    </r>
    <r>
      <rPr>
        <sz val="11"/>
        <color rgb="FF000000"/>
        <rFont val="Calibri"/>
        <family val="2"/>
      </rPr>
      <t> </t>
    </r>
  </si>
  <si>
    <r>
      <t>Materiality</t>
    </r>
    <r>
      <rPr>
        <b/>
        <i/>
        <sz val="10.199999999999999"/>
        <color theme="1"/>
        <rFont val="Arial Nova"/>
        <family val="2"/>
      </rPr>
      <t xml:space="preserve"> (calculated)</t>
    </r>
  </si>
  <si>
    <t>Refer to tab A3.  Peel Region Grants</t>
  </si>
  <si>
    <t>Actual Program Staffing, General Operating Fund (GOF)</t>
  </si>
  <si>
    <t>411b(i)</t>
  </si>
  <si>
    <t>411i(i)</t>
  </si>
  <si>
    <t>Actual Supervisor, General Operating Fund (GOF)</t>
  </si>
  <si>
    <t>Actual Program Staffing, Wage Enhancement Grant (WEG)</t>
  </si>
  <si>
    <t>Actual Supervisor, Wage Enhancement Grant (WEG)</t>
  </si>
  <si>
    <t>Less: Actual Controlling Owner/Directors or trustees bonuses</t>
  </si>
  <si>
    <t>Less:  Amortization for Capital Assets (Ineligible for Cost-Based Funding)</t>
  </si>
  <si>
    <t>Less:  Income tax 0-6</t>
  </si>
  <si>
    <t>Less:  Non-Base Expenses for 0-6 Families</t>
  </si>
  <si>
    <t>Less:  Ineligible expenses for 0-6 Families</t>
  </si>
  <si>
    <t>Less:  Life Long Learning Day October 0-6</t>
  </si>
  <si>
    <t>Less:  2025 Program Staff Top-up Funding 0-6</t>
  </si>
  <si>
    <t>300k</t>
  </si>
  <si>
    <t>300l</t>
  </si>
  <si>
    <t>Do you have any transactions that are to a related party?</t>
  </si>
  <si>
    <t>For row 13, if other selected provide comment.  
For row 14, if you had a related party transaction, which expense line is it included on?
For row 15, if normal operations was NOT selected provide comment.</t>
  </si>
  <si>
    <t>Financial Annual Information Return (FAIR) and 2025 CWELCC/OTEF Reconciliation for Multi Site Operators</t>
  </si>
  <si>
    <r>
      <t xml:space="preserve">  CWELCC Reconciliation- </t>
    </r>
    <r>
      <rPr>
        <b/>
        <sz val="18"/>
        <color rgb="FFFF0000"/>
        <rFont val="Calibri"/>
        <family val="2"/>
        <scheme val="minor"/>
      </rPr>
      <t>Head Office Level</t>
    </r>
  </si>
  <si>
    <t>Site 1 Name:</t>
  </si>
  <si>
    <t>Site 2 Name:</t>
  </si>
  <si>
    <t>Site 3 Name:</t>
  </si>
  <si>
    <t>Site 4 Name:</t>
  </si>
  <si>
    <t>Site 5 Name:</t>
  </si>
  <si>
    <t>Important Note: Complete tabs 1 to 6 in order. Tabs 7 to 10 for review.</t>
  </si>
  <si>
    <t>Mortgage principal paid for the year on child care facilities in Peel.</t>
  </si>
  <si>
    <r>
      <rPr>
        <b/>
        <sz val="16"/>
        <color theme="4" tint="-0.249977111117893"/>
        <rFont val="Calibri"/>
        <family val="2"/>
        <scheme val="minor"/>
      </rPr>
      <t>2025 CWELCC One Time Emergency Funding (OTEF) - Operating</t>
    </r>
    <r>
      <rPr>
        <b/>
        <sz val="14"/>
        <color theme="4" tint="-0.249977111117893"/>
        <rFont val="Calibri"/>
        <family val="2"/>
        <scheme val="minor"/>
      </rPr>
      <t>:</t>
    </r>
    <r>
      <rPr>
        <b/>
        <sz val="12"/>
        <color theme="4" tint="-0.249977111117893"/>
        <rFont val="Calibri"/>
        <family val="2"/>
        <scheme val="minor"/>
      </rPr>
      <t xml:space="preserve"> </t>
    </r>
    <r>
      <rPr>
        <b/>
        <sz val="12"/>
        <color theme="1"/>
        <rFont val="Calibri"/>
        <family val="2"/>
        <scheme val="minor"/>
      </rPr>
      <t xml:space="preserve"> Input is required to calculate recoveries for the 2025 CWELCC One-Time Emergency Funding (OTEF) – Operating Grant. Revenue and expenses are prepopulated in tab A6, with recoveries calculated in tab A7. Grant amounts to be entered in GovGrants are displayed on tab A8, also the Summary of Reconciliations in tab 9A will be updated. </t>
    </r>
  </si>
  <si>
    <r>
      <rPr>
        <b/>
        <sz val="16"/>
        <color theme="4" tint="-0.249977111117893"/>
        <rFont val="Calibri"/>
        <family val="2"/>
        <scheme val="minor"/>
      </rPr>
      <t>2025 Expansion funding (Start up projects)</t>
    </r>
    <r>
      <rPr>
        <b/>
        <sz val="16"/>
        <color theme="1"/>
        <rFont val="Calibri"/>
        <family val="2"/>
        <scheme val="minor"/>
      </rPr>
      <t xml:space="preserve"> </t>
    </r>
    <r>
      <rPr>
        <b/>
        <sz val="12"/>
        <color theme="1"/>
        <rFont val="Calibri"/>
        <family val="2"/>
        <scheme val="minor"/>
      </rPr>
      <t>: Input required to align to updated accounting policy and amounts entered also update the Summary of Reconciliations on tab 9.</t>
    </r>
  </si>
  <si>
    <t>2025 KEY PERFORMANCE INDICATORS (KPIs)</t>
  </si>
  <si>
    <r>
      <rPr>
        <b/>
        <i/>
        <sz val="14"/>
        <color theme="1"/>
        <rFont val="Calibri"/>
        <family val="2"/>
      </rPr>
      <t xml:space="preserve">Instructions: </t>
    </r>
    <r>
      <rPr>
        <i/>
        <sz val="14"/>
        <color theme="1"/>
        <rFont val="Calibri"/>
        <family val="2"/>
      </rPr>
      <t xml:space="preserve">Fill out areas highlighted in green with the information being requested in the Data Element Required column. Please only enter information for </t>
    </r>
    <r>
      <rPr>
        <b/>
        <i/>
        <u/>
        <sz val="14"/>
        <color theme="1"/>
        <rFont val="Calibri"/>
        <family val="2"/>
      </rPr>
      <t>eligible children aged 0-6 only</t>
    </r>
  </si>
  <si>
    <t>KPI1</t>
  </si>
  <si>
    <t>Total number of RECE program staff serving CWELCC eligible children supported by the WCF wage floor and WCF wage increase</t>
  </si>
  <si>
    <t>KPI2</t>
  </si>
  <si>
    <t>Total number of RECE supervisors serving CWELCC eligible children supported by the WCF wage floor and WCF wage increase</t>
  </si>
  <si>
    <t>KPI3</t>
  </si>
  <si>
    <t>KPI4</t>
  </si>
  <si>
    <t>KPI5</t>
  </si>
  <si>
    <t>KPI6</t>
  </si>
  <si>
    <t>KPI7</t>
  </si>
  <si>
    <t>KPI8</t>
  </si>
  <si>
    <t>KPI9</t>
  </si>
  <si>
    <t>Number of fully &amp; partially eligible staff FTE’s eligible for WEG wage enhancements ($2 an hour). supporting CWELCC eligible children. One FTE is equivalent to 1,754.5 hours for the year</t>
  </si>
  <si>
    <t>KPI10</t>
  </si>
  <si>
    <t>KPI11</t>
  </si>
  <si>
    <t>KPI12</t>
  </si>
  <si>
    <t>KPI13</t>
  </si>
  <si>
    <t>KPI14</t>
  </si>
  <si>
    <t>Less:  Professional Dues</t>
  </si>
  <si>
    <t>Less:  Actual Controlling Owner/Directors or trustees bonuses</t>
  </si>
  <si>
    <t>A4. KPIs</t>
  </si>
  <si>
    <t>A6a to A6e. Operations</t>
  </si>
  <si>
    <t>A6. Operations_Consolidated</t>
  </si>
  <si>
    <t>Consolidates revenue and expenses from individual sites and links head office-level grants. This tab serves as the basis for calculating the year-end consolidated CWLECC and OTEF reconciliation</t>
  </si>
  <si>
    <t>SUMMARY OF RECONCILIATION - PEEL REGION</t>
  </si>
  <si>
    <t>Input any funding not listed in the other line. This information should match your note disclosure (new requirement see ACCOUNTING AND NOTE DISCLOSURE GUIDELINE FOR ACCOUNTANTS / AUDITORS ) for funding received, funds spent, repayable to Peel and deferred in your Audited Financial Statements</t>
  </si>
  <si>
    <t>Kindly refer to FAIR Guideline</t>
  </si>
  <si>
    <t>link to be inserted</t>
  </si>
  <si>
    <t>411g</t>
  </si>
  <si>
    <t>Provides guidance on locating the definition codes.</t>
  </si>
  <si>
    <t>Total Project Cost</t>
  </si>
  <si>
    <r>
      <t xml:space="preserve">Total Actual Cost of Project </t>
    </r>
    <r>
      <rPr>
        <b/>
        <sz val="10"/>
        <color theme="1"/>
        <rFont val="Calibri"/>
        <family val="2"/>
        <scheme val="minor"/>
      </rPr>
      <t>(net of insurance and landlord)</t>
    </r>
  </si>
  <si>
    <r>
      <t xml:space="preserve">Total Project Cost </t>
    </r>
    <r>
      <rPr>
        <b/>
        <sz val="10"/>
        <color theme="1"/>
        <rFont val="Calibri"/>
        <family val="2"/>
        <scheme val="minor"/>
      </rPr>
      <t>(net of insurance and landlord)</t>
    </r>
  </si>
  <si>
    <t>Total 0-6 Years Expense from tab A6. Operations</t>
  </si>
  <si>
    <t>Site Name</t>
  </si>
  <si>
    <t>Licensee Number</t>
  </si>
  <si>
    <t>Site 1 License Number</t>
  </si>
  <si>
    <t>Site 2 License Number</t>
  </si>
  <si>
    <t>Site 3 License Number</t>
  </si>
  <si>
    <t>Site 4 License Number</t>
  </si>
  <si>
    <t>Site 5 License Number</t>
  </si>
  <si>
    <t>Total Amount</t>
  </si>
  <si>
    <t>Regional OTEF expenses</t>
  </si>
  <si>
    <t>For Calendar Year Jan 1 to Dec 31, 2025.</t>
  </si>
  <si>
    <r>
      <rPr>
        <b/>
        <sz val="11"/>
        <rFont val="Calibri"/>
        <family val="2"/>
        <scheme val="minor"/>
      </rPr>
      <t xml:space="preserve">Allocation: </t>
    </r>
    <r>
      <rPr>
        <sz val="11"/>
        <rFont val="Calibri"/>
        <family val="2"/>
        <scheme val="minor"/>
      </rPr>
      <t>Providers enter in their final CWELCC allocation site wise from the site-level allocation document shared alongside the memo.  This information is required to calculate CWELCC eligible costs and year end recovery.</t>
    </r>
  </si>
  <si>
    <r>
      <rPr>
        <b/>
        <sz val="11"/>
        <rFont val="Calibri"/>
        <family val="2"/>
        <scheme val="minor"/>
      </rPr>
      <t>Operating Plan</t>
    </r>
    <r>
      <rPr>
        <sz val="11"/>
        <rFont val="Calibri"/>
        <family val="2"/>
        <scheme val="minor"/>
      </rPr>
      <t>: This section is used to calculate the proportional allocation of eligible expenses between children aged 0–6 (eligible) and 6–12 (non-eligible). To ensure consistency with benchmark calculations, providers must use operating data as of May 30, 2025. If alternative service level data is used, providers must supply the corresponding figures along with a clear rationale for the deviation from the May 30 benchmark.</t>
    </r>
  </si>
  <si>
    <t>Enables providers to report year-end revenue and expenses site wise based on their financial statements. If services are delivered to children aged 6–12, a prorated adjustment is applied to total expenses to reflect this allocation.</t>
  </si>
  <si>
    <t>Performs year-end recovery calculations for CWELCC and OTEF operating grants based on reported financial data at Head office level.</t>
  </si>
  <si>
    <t>Total number of service days the site was open during the calendar year</t>
  </si>
  <si>
    <t xml:space="preserve">Input amounts from approval memo at a site-level.  If the project has been completed as of Dec 31, 2025 the amount to report spent on GovGrants will show on tab A8.
If the project has not been completed as of Dec 31, 2025 the amount to report as spent on tab 8 will not be displayed, also tab A5 will update the deferral revenue.  If the project is not complete, however costs have been occurred enter amount of incurred costs in Cost of Project (incurred/final).  Complete the reconciliation once the project is completed.   
If the project has not been completed and costs incurred exceed approval amount, providers are required to complete OTEF reconciliation and tab A8 will provide Gov Grants input.   </t>
  </si>
  <si>
    <t xml:space="preserve">Input amounts from Approval memo at a site-level and complete reconciliation in GovGrants.  Any underspending in Cost Based funding will be applied to OTEF operating reconciliation to maximize cost based funding allocation.  See tab A7 for details and tab A8 for reporting in GovGrants. </t>
  </si>
  <si>
    <t>A1. Identification</t>
  </si>
  <si>
    <t>A3. Peel Region grants</t>
  </si>
  <si>
    <t>Actual Supervisor, Employer Statutory Obligations</t>
  </si>
  <si>
    <t>Actual Program Staffing, Employer Statutory Obligations</t>
  </si>
  <si>
    <t>Count of fully &amp; partially eligible staff FTE's eligible for WEG supporting CWELCC children</t>
  </si>
  <si>
    <t>2025 CWELCC Allocation</t>
  </si>
  <si>
    <t>Site 1</t>
  </si>
  <si>
    <t>Site 2</t>
  </si>
  <si>
    <t>Site 3</t>
  </si>
  <si>
    <t>Site 4</t>
  </si>
  <si>
    <t>Site 5</t>
  </si>
  <si>
    <r>
      <rPr>
        <b/>
        <sz val="12"/>
        <color rgb="FFFF0000"/>
        <rFont val="Calibri"/>
        <family val="2"/>
      </rPr>
      <t xml:space="preserve">HEAD OFFICE: </t>
    </r>
    <r>
      <rPr>
        <b/>
        <sz val="12"/>
        <color theme="1"/>
        <rFont val="Calibri"/>
        <family val="2"/>
      </rPr>
      <t>Count of RECE Program Staff supported by WCF Wage Floor &amp; Wage Increase</t>
    </r>
  </si>
  <si>
    <r>
      <rPr>
        <b/>
        <sz val="12"/>
        <color rgb="FFFF0000"/>
        <rFont val="Calibri"/>
        <family val="2"/>
      </rPr>
      <t xml:space="preserve">HEAD OFFICE: </t>
    </r>
    <r>
      <rPr>
        <b/>
        <sz val="12"/>
        <color theme="1"/>
        <rFont val="Calibri"/>
        <family val="2"/>
      </rPr>
      <t>Count of RECE Supervisors supported by WCF Wage Floor &amp; Wage Increase</t>
    </r>
  </si>
  <si>
    <r>
      <rPr>
        <b/>
        <sz val="12"/>
        <color rgb="FFFF0000"/>
        <rFont val="Calibri"/>
        <family val="2"/>
      </rPr>
      <t>HEAD OFFICE:</t>
    </r>
    <r>
      <rPr>
        <b/>
        <sz val="12"/>
        <color theme="1"/>
        <rFont val="Calibri"/>
        <family val="2"/>
      </rPr>
      <t xml:space="preserve"> Total amount spent keeping wages the same ($)</t>
    </r>
  </si>
  <si>
    <r>
      <rPr>
        <b/>
        <sz val="12"/>
        <color rgb="FFFF0000"/>
        <rFont val="Calibri"/>
        <family val="2"/>
      </rPr>
      <t>HEAD OFFICE:</t>
    </r>
    <r>
      <rPr>
        <b/>
        <sz val="12"/>
        <color theme="1"/>
        <rFont val="Calibri"/>
        <family val="2"/>
      </rPr>
      <t xml:space="preserve"> Count of total Program Staff and Supervisors whose wages were held constant</t>
    </r>
  </si>
  <si>
    <r>
      <rPr>
        <b/>
        <u/>
        <sz val="13"/>
        <color theme="1"/>
        <rFont val="Calibri"/>
        <family val="2"/>
      </rPr>
      <t>Head Office</t>
    </r>
    <r>
      <rPr>
        <b/>
        <sz val="13"/>
        <color theme="1"/>
        <rFont val="Calibri"/>
        <family val="2"/>
      </rPr>
      <t xml:space="preserve"> - KPI</t>
    </r>
  </si>
  <si>
    <r>
      <rPr>
        <b/>
        <sz val="12"/>
        <color rgb="FFFF0000"/>
        <rFont val="Calibri"/>
        <family val="2"/>
      </rPr>
      <t>HEAD OFFICE:</t>
    </r>
    <r>
      <rPr>
        <b/>
        <sz val="12"/>
        <color theme="1"/>
        <rFont val="Calibri"/>
        <family val="2"/>
      </rPr>
      <t xml:space="preserve"> Count of total individuals supported using funded planning time</t>
    </r>
  </si>
  <si>
    <r>
      <rPr>
        <b/>
        <sz val="12"/>
        <color rgb="FFFF0000"/>
        <rFont val="Calibri"/>
        <family val="2"/>
      </rPr>
      <t xml:space="preserve">HEAD OFFICE: </t>
    </r>
    <r>
      <rPr>
        <b/>
        <sz val="12"/>
        <color theme="1"/>
        <rFont val="Calibri"/>
        <family val="2"/>
      </rPr>
      <t>Paid Planning Time Actual Expenditures ($)</t>
    </r>
  </si>
  <si>
    <r>
      <t>Instructions for Allocation:</t>
    </r>
    <r>
      <rPr>
        <sz val="14"/>
        <rFont val="Calibri"/>
        <family val="2"/>
        <scheme val="minor"/>
      </rPr>
      <t xml:space="preserve"> Input information in </t>
    </r>
    <r>
      <rPr>
        <u/>
        <sz val="14"/>
        <rFont val="Calibri"/>
        <family val="2"/>
        <scheme val="minor"/>
      </rPr>
      <t>green cells</t>
    </r>
    <r>
      <rPr>
        <sz val="14"/>
        <rFont val="Calibri"/>
        <family val="2"/>
        <scheme val="minor"/>
      </rPr>
      <t xml:space="preserve"> only.  Enter the funding allocations calculated by the Region of Peel. </t>
    </r>
    <r>
      <rPr>
        <sz val="14"/>
        <color theme="1"/>
        <rFont val="Calibri"/>
        <family val="2"/>
        <scheme val="minor"/>
      </rPr>
      <t xml:space="preserve"> The following information is available in the site-level allocation document shared alongside the memo.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</si>
</sst>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8" formatCode="&quot;$&quot;#,##0.00;[Red]\-&quot;$&quot;#,##0.00"/>
    <numFmt numFmtId="44" formatCode="_-&quot;$&quot;* #,##0.00_-;\-&quot;$&quot;* #,##0.00_-;_-&quot;$&quot;* &quot;-&quot;??_-;_-@_-"/>
    <numFmt numFmtId="43" formatCode="_-* #,##0.00_-;\-* #,##0.00_-;_-* &quot;-&quot;??_-;_-@_-"/>
    <numFmt numFmtId="164" formatCode="&quot;$&quot;#,##0;[Red]\(&quot;$&quot;#,##0\)"/>
    <numFmt numFmtId="165" formatCode="#\ ???/???"/>
    <numFmt numFmtId="166" formatCode="&quot;$&quot;#,##0.00"/>
    <numFmt numFmtId="167" formatCode="_-&quot;$&quot;* #,##0_-;\-&quot;$&quot;* #,##0_-;_-&quot;$&quot;* &quot;-&quot;??_-;_-@_-"/>
    <numFmt numFmtId="168" formatCode="[$-1009]mmmm\ d\,\ yyyy;@"/>
    <numFmt numFmtId="169" formatCode="&quot;$&quot;#,##0.00;[Red]&quot;$&quot;#,##0.00"/>
    <numFmt numFmtId="170" formatCode="&quot;$&quot;#,##0.0;[Red]&quot;$&quot;#,##0.0"/>
    <numFmt numFmtId="171" formatCode="0.0%"/>
    <numFmt numFmtId="172" formatCode="#,##0.00;[Red]#,##0.00"/>
    <numFmt numFmtId="173" formatCode="0.0"/>
    <numFmt numFmtId="174" formatCode="&quot;$&quot;#,##0.00;[Red]\(&quot;$&quot;#,##0.00\)"/>
    <numFmt numFmtId="175" formatCode="[$-F800]dddd\,\ mmmm\ dd\,\ yyyy"/>
    <numFmt numFmtId="176" formatCode="[&lt;=9999999]###\-####;###\-###\-####"/>
    <numFmt numFmtId="177" formatCode="yyyy/mm/dd;@"/>
    <numFmt numFmtId="178" formatCode="_-* #,##0.0000_-;\-* #,##0.0000_-;_-* &quot;-&quot;??_-;_-@_-"/>
    <numFmt numFmtId="179" formatCode="0.0000%"/>
    <numFmt numFmtId="180" formatCode="&quot;$&quot;#,##0;[Red]&quot;$&quot;#,##0"/>
    <numFmt numFmtId="181" formatCode="0.0000"/>
  </numFmts>
  <fonts count="141">
    <font>
      <sz val="11"/>
      <color theme="1"/>
      <name val="Calibri"/>
      <family val="2"/>
      <scheme val="minor"/>
    </font>
    <font>
      <sz val="12"/>
      <color theme="1"/>
      <name val="Arial Nova"/>
      <family val="2"/>
    </font>
    <font>
      <b/>
      <sz val="12"/>
      <color theme="1"/>
      <name val="Arial Nova"/>
      <family val="2"/>
    </font>
    <font>
      <sz val="11"/>
      <color theme="1"/>
      <name val="Calibri"/>
      <family val="2"/>
      <scheme val="minor"/>
    </font>
    <font>
      <sz val="12"/>
      <name val="Arial Nova"/>
      <family val="2"/>
    </font>
    <font>
      <sz val="8"/>
      <name val="Calibri"/>
      <family val="2"/>
      <scheme val="minor"/>
    </font>
    <font>
      <sz val="11"/>
      <color rgb="FF3F3F76"/>
      <name val="Calibri"/>
      <family val="2"/>
      <scheme val="minor"/>
    </font>
    <font>
      <b/>
      <sz val="11"/>
      <color rgb="FF3F3F3F"/>
      <name val="Calibri"/>
      <family val="2"/>
      <scheme val="minor"/>
    </font>
    <font>
      <i/>
      <sz val="11"/>
      <color rgb="FF7F7F7F"/>
      <name val="Calibri"/>
      <family val="2"/>
      <scheme val="minor"/>
    </font>
    <font>
      <u/>
      <sz val="11"/>
      <color theme="10"/>
      <name val="Calibri"/>
      <family val="2"/>
      <scheme val="minor"/>
    </font>
    <font>
      <sz val="12"/>
      <color theme="1"/>
      <name val="Calibri"/>
      <family val="2"/>
      <scheme val="minor"/>
    </font>
    <font>
      <sz val="11"/>
      <name val="Calibri"/>
      <family val="2"/>
      <scheme val="minor"/>
    </font>
    <font>
      <sz val="10"/>
      <color rgb="FF3F3F76"/>
      <name val="Arial Nova"/>
      <family val="2"/>
    </font>
    <font>
      <b/>
      <sz val="10"/>
      <color rgb="FF3F3F3F"/>
      <name val="Arial Nova"/>
      <family val="2"/>
    </font>
    <font>
      <i/>
      <sz val="10"/>
      <color rgb="FF7F7F7F"/>
      <name val="Arial Nova"/>
      <family val="2"/>
    </font>
    <font>
      <sz val="11"/>
      <color theme="1"/>
      <name val="Aptos"/>
      <family val="2"/>
    </font>
    <font>
      <b/>
      <sz val="11"/>
      <color indexed="81"/>
      <name val="Tahoma"/>
      <family val="2"/>
    </font>
    <font>
      <b/>
      <sz val="11"/>
      <color theme="1"/>
      <name val="Calibri"/>
      <family val="2"/>
      <scheme val="minor"/>
    </font>
    <font>
      <sz val="11"/>
      <color theme="0"/>
      <name val="Calibri"/>
      <family val="2"/>
      <scheme val="minor"/>
    </font>
    <font>
      <b/>
      <sz val="18"/>
      <color theme="3"/>
      <name val="Calibri Light"/>
      <family val="2"/>
      <scheme val="major"/>
    </font>
    <font>
      <sz val="10"/>
      <name val="Arial"/>
      <family val="2"/>
    </font>
    <font>
      <b/>
      <u/>
      <sz val="11"/>
      <color theme="1"/>
      <name val="Calibri"/>
      <family val="2"/>
      <scheme val="minor"/>
    </font>
    <font>
      <i/>
      <sz val="11"/>
      <color theme="1"/>
      <name val="Calibri"/>
      <family val="2"/>
      <scheme val="minor"/>
    </font>
    <font>
      <b/>
      <sz val="11"/>
      <color rgb="FFFF0000"/>
      <name val="Calibri"/>
      <family val="2"/>
      <scheme val="minor"/>
    </font>
    <font>
      <b/>
      <sz val="12"/>
      <color theme="1"/>
      <name val="Calibri"/>
      <family val="2"/>
      <scheme val="minor"/>
    </font>
    <font>
      <b/>
      <sz val="14"/>
      <color rgb="FF000000"/>
      <name val="Aptos Narrow"/>
      <family val="2"/>
    </font>
    <font>
      <b/>
      <sz val="11"/>
      <color rgb="FF000000"/>
      <name val="Calibri"/>
      <family val="2"/>
      <scheme val="minor"/>
    </font>
    <font>
      <b/>
      <sz val="12"/>
      <color rgb="FFFF0000"/>
      <name val="Calibri"/>
      <family val="2"/>
      <scheme val="minor"/>
    </font>
    <font>
      <sz val="12"/>
      <name val="Calibri"/>
      <family val="2"/>
      <scheme val="minor"/>
    </font>
    <font>
      <sz val="12"/>
      <color rgb="FFFF0000"/>
      <name val="Calibri"/>
      <family val="2"/>
      <scheme val="minor"/>
    </font>
    <font>
      <sz val="12"/>
      <color theme="0"/>
      <name val="Calibri"/>
      <family val="2"/>
      <scheme val="minor"/>
    </font>
    <font>
      <b/>
      <sz val="14"/>
      <color theme="0"/>
      <name val="Calibri"/>
      <family val="2"/>
      <scheme val="minor"/>
    </font>
    <font>
      <b/>
      <sz val="12"/>
      <name val="Calibri"/>
      <family val="2"/>
      <scheme val="minor"/>
    </font>
    <font>
      <b/>
      <i/>
      <sz val="12"/>
      <name val="Calibri"/>
      <family val="2"/>
      <scheme val="minor"/>
    </font>
    <font>
      <sz val="10"/>
      <name val="Calibri"/>
      <family val="2"/>
      <scheme val="minor"/>
    </font>
    <font>
      <i/>
      <sz val="12"/>
      <name val="Calibri"/>
      <family val="2"/>
      <scheme val="minor"/>
    </font>
    <font>
      <i/>
      <sz val="12"/>
      <color theme="1"/>
      <name val="Calibri"/>
      <family val="2"/>
      <scheme val="minor"/>
    </font>
    <font>
      <b/>
      <sz val="14"/>
      <color theme="4" tint="-0.249977111117893"/>
      <name val="Calibri"/>
      <family val="2"/>
      <scheme val="minor"/>
    </font>
    <font>
      <b/>
      <sz val="14"/>
      <color theme="1"/>
      <name val="Calibri"/>
      <family val="2"/>
      <scheme val="minor"/>
    </font>
    <font>
      <b/>
      <sz val="18"/>
      <color theme="1"/>
      <name val="Calibri"/>
      <family val="2"/>
      <scheme val="minor"/>
    </font>
    <font>
      <i/>
      <sz val="11"/>
      <color theme="0"/>
      <name val="Calibri"/>
      <family val="2"/>
      <scheme val="minor"/>
    </font>
    <font>
      <i/>
      <sz val="11"/>
      <name val="Calibri"/>
      <family val="2"/>
      <scheme val="minor"/>
    </font>
    <font>
      <b/>
      <sz val="8"/>
      <name val="Calibri"/>
      <family val="2"/>
      <scheme val="minor"/>
    </font>
    <font>
      <b/>
      <sz val="12"/>
      <color theme="0"/>
      <name val="Calibri"/>
      <family val="2"/>
      <scheme val="minor"/>
    </font>
    <font>
      <b/>
      <sz val="16"/>
      <color theme="0"/>
      <name val="Calibri"/>
      <family val="2"/>
      <scheme val="minor"/>
    </font>
    <font>
      <b/>
      <sz val="16"/>
      <color rgb="FFFF0000"/>
      <name val="Calibri"/>
      <family val="2"/>
      <scheme val="minor"/>
    </font>
    <font>
      <b/>
      <sz val="16"/>
      <color theme="4" tint="-0.249977111117893"/>
      <name val="Calibri"/>
      <family val="2"/>
      <scheme val="minor"/>
    </font>
    <font>
      <b/>
      <sz val="18"/>
      <color theme="0"/>
      <name val="Calibri"/>
      <family val="2"/>
      <scheme val="minor"/>
    </font>
    <font>
      <sz val="18"/>
      <color theme="1"/>
      <name val="Calibri"/>
      <family val="2"/>
      <scheme val="minor"/>
    </font>
    <font>
      <b/>
      <sz val="10"/>
      <name val="Arial"/>
      <family val="2"/>
    </font>
    <font>
      <b/>
      <sz val="18"/>
      <name val="Arial"/>
      <family val="2"/>
    </font>
    <font>
      <b/>
      <sz val="14"/>
      <color theme="3"/>
      <name val="Calibri Light"/>
      <family val="2"/>
      <scheme val="major"/>
    </font>
    <font>
      <sz val="14"/>
      <color theme="1"/>
      <name val="Calibri"/>
      <family val="2"/>
      <scheme val="minor"/>
    </font>
    <font>
      <sz val="10"/>
      <color theme="1"/>
      <name val="Arial"/>
      <family val="2"/>
    </font>
    <font>
      <sz val="10"/>
      <color theme="1"/>
      <name val="Calibri"/>
      <family val="2"/>
      <scheme val="minor"/>
    </font>
    <font>
      <b/>
      <sz val="12"/>
      <color theme="1"/>
      <name val="Arial"/>
      <family val="2"/>
    </font>
    <font>
      <b/>
      <i/>
      <sz val="12"/>
      <color theme="1"/>
      <name val="Calibri"/>
      <family val="2"/>
      <scheme val="minor"/>
    </font>
    <font>
      <b/>
      <sz val="16"/>
      <color theme="1"/>
      <name val="Calibri"/>
      <family val="2"/>
      <scheme val="minor"/>
    </font>
    <font>
      <b/>
      <sz val="11"/>
      <name val="Calibri"/>
      <family val="2"/>
      <scheme val="minor"/>
    </font>
    <font>
      <b/>
      <sz val="11"/>
      <color rgb="FFFFFFFF"/>
      <name val="Calibri"/>
      <family val="2"/>
      <scheme val="minor"/>
    </font>
    <font>
      <b/>
      <i/>
      <sz val="12"/>
      <color theme="0"/>
      <name val="Calibri"/>
      <family val="2"/>
      <scheme val="minor"/>
    </font>
    <font>
      <b/>
      <sz val="7"/>
      <color rgb="FF333333"/>
      <name val="Helvetica"/>
    </font>
    <font>
      <b/>
      <sz val="7"/>
      <color rgb="FF000000"/>
      <name val="Helvetica"/>
    </font>
    <font>
      <sz val="7"/>
      <color rgb="FF333333"/>
      <name val="Helvetica"/>
    </font>
    <font>
      <sz val="9"/>
      <color rgb="FF00CC66"/>
      <name val="FontAwesome"/>
    </font>
    <font>
      <b/>
      <sz val="24"/>
      <color rgb="FF333333"/>
      <name val="Helvetica"/>
    </font>
    <font>
      <sz val="24"/>
      <color rgb="FF333333"/>
      <name val="Helvetica"/>
    </font>
    <font>
      <b/>
      <sz val="12"/>
      <color rgb="FF000000"/>
      <name val="Calibri"/>
      <family val="2"/>
      <scheme val="minor"/>
    </font>
    <font>
      <sz val="12"/>
      <color rgb="FF000000"/>
      <name val="Calibri"/>
      <family val="2"/>
      <scheme val="minor"/>
    </font>
    <font>
      <b/>
      <u/>
      <sz val="12"/>
      <color rgb="FF000000"/>
      <name val="Calibri"/>
      <family val="2"/>
      <scheme val="minor"/>
    </font>
    <font>
      <u/>
      <sz val="12"/>
      <color rgb="FF000000"/>
      <name val="Calibri"/>
      <family val="2"/>
      <scheme val="minor"/>
    </font>
    <font>
      <sz val="11"/>
      <color rgb="FF000000"/>
      <name val="Aptos"/>
      <family val="2"/>
    </font>
    <font>
      <b/>
      <sz val="18"/>
      <name val="Calibri"/>
      <family val="2"/>
      <scheme val="minor"/>
    </font>
    <font>
      <b/>
      <sz val="14"/>
      <name val="Calibri"/>
      <family val="2"/>
      <scheme val="minor"/>
    </font>
    <font>
      <b/>
      <sz val="14"/>
      <color rgb="FFFF0000"/>
      <name val="Calibri"/>
      <family val="2"/>
      <scheme val="minor"/>
    </font>
    <font>
      <b/>
      <i/>
      <sz val="12"/>
      <color rgb="FFFF0000"/>
      <name val="Calibri"/>
      <family val="2"/>
      <scheme val="minor"/>
    </font>
    <font>
      <b/>
      <sz val="16"/>
      <name val="Arial Nova"/>
      <family val="2"/>
    </font>
    <font>
      <sz val="12"/>
      <color rgb="FFFF0000"/>
      <name val="Arial Nova"/>
      <family val="2"/>
    </font>
    <font>
      <u val="singleAccounting"/>
      <sz val="12"/>
      <color rgb="FFFF0000"/>
      <name val="Calibri"/>
      <family val="2"/>
      <scheme val="minor"/>
    </font>
    <font>
      <b/>
      <sz val="12"/>
      <color rgb="FFFFFFFF"/>
      <name val="Calibri"/>
      <family val="2"/>
      <scheme val="minor"/>
    </font>
    <font>
      <b/>
      <sz val="9"/>
      <color indexed="81"/>
      <name val="Tahoma"/>
      <family val="2"/>
    </font>
    <font>
      <u/>
      <sz val="12"/>
      <color theme="10"/>
      <name val="Calibri"/>
      <family val="2"/>
      <scheme val="minor"/>
    </font>
    <font>
      <b/>
      <sz val="18"/>
      <color theme="0"/>
      <name val="Arial Nova"/>
      <family val="2"/>
    </font>
    <font>
      <b/>
      <sz val="14"/>
      <color theme="1"/>
      <name val="Arial Nova"/>
      <family val="2"/>
    </font>
    <font>
      <b/>
      <sz val="16"/>
      <color theme="1"/>
      <name val="Arial Nova"/>
      <family val="2"/>
    </font>
    <font>
      <b/>
      <i/>
      <sz val="12"/>
      <color theme="9" tint="-0.249977111117893"/>
      <name val="Arial Nova"/>
      <family val="2"/>
    </font>
    <font>
      <b/>
      <u/>
      <sz val="14"/>
      <color theme="1"/>
      <name val="Arial Nova"/>
      <family val="2"/>
    </font>
    <font>
      <i/>
      <sz val="10.199999999999999"/>
      <color theme="1"/>
      <name val="Arial Nova"/>
      <family val="2"/>
    </font>
    <font>
      <b/>
      <i/>
      <sz val="12"/>
      <color theme="0"/>
      <name val="Arial Nova"/>
      <family val="2"/>
    </font>
    <font>
      <b/>
      <sz val="12"/>
      <color theme="8"/>
      <name val="Arial Nova"/>
      <family val="2"/>
    </font>
    <font>
      <i/>
      <sz val="10.199999999999999"/>
      <name val="Arial Nova"/>
      <family val="2"/>
    </font>
    <font>
      <b/>
      <i/>
      <sz val="12"/>
      <color theme="1"/>
      <name val="Arial Nova"/>
      <family val="2"/>
    </font>
    <font>
      <b/>
      <i/>
      <sz val="12"/>
      <name val="Arial Nova"/>
      <family val="2"/>
    </font>
    <font>
      <sz val="10"/>
      <color theme="1"/>
      <name val="Arial Nova"/>
      <family val="2"/>
    </font>
    <font>
      <b/>
      <sz val="12"/>
      <name val="Arial Nova"/>
      <family val="2"/>
    </font>
    <font>
      <b/>
      <i/>
      <sz val="12"/>
      <color rgb="FFC00000"/>
      <name val="Arial Nova"/>
      <family val="2"/>
    </font>
    <font>
      <i/>
      <sz val="12"/>
      <name val="Arial Nova"/>
      <family val="2"/>
    </font>
    <font>
      <b/>
      <sz val="12"/>
      <color rgb="FFC00000"/>
      <name val="Arial Nova"/>
      <family val="2"/>
    </font>
    <font>
      <b/>
      <i/>
      <sz val="12"/>
      <color theme="4"/>
      <name val="Arial Nova"/>
      <family val="2"/>
    </font>
    <font>
      <b/>
      <u/>
      <sz val="12"/>
      <color theme="1"/>
      <name val="Arial Nova"/>
      <family val="2"/>
    </font>
    <font>
      <u/>
      <sz val="12"/>
      <color theme="1"/>
      <name val="Arial Nova"/>
      <family val="2"/>
    </font>
    <font>
      <b/>
      <i/>
      <sz val="12"/>
      <color rgb="FF0000FF"/>
      <name val="Arial Nova"/>
      <family val="2"/>
    </font>
    <font>
      <b/>
      <sz val="12"/>
      <color theme="4"/>
      <name val="Arial Nova"/>
      <family val="2"/>
    </font>
    <font>
      <b/>
      <sz val="12"/>
      <color rgb="FFFF0000"/>
      <name val="Arial Nova"/>
      <family val="2"/>
    </font>
    <font>
      <b/>
      <sz val="10"/>
      <color rgb="FFC00000"/>
      <name val="Arial Nova"/>
      <family val="2"/>
    </font>
    <font>
      <b/>
      <u/>
      <sz val="12"/>
      <name val="Arial Nova"/>
      <family val="2"/>
    </font>
    <font>
      <b/>
      <sz val="12"/>
      <color rgb="FF0000FF"/>
      <name val="Arial Nova"/>
      <family val="2"/>
    </font>
    <font>
      <sz val="10"/>
      <name val="Arial Nova"/>
      <family val="2"/>
    </font>
    <font>
      <b/>
      <sz val="11"/>
      <color theme="0"/>
      <name val="Calibri"/>
      <family val="2"/>
      <scheme val="minor"/>
    </font>
    <font>
      <b/>
      <i/>
      <sz val="11"/>
      <color rgb="FFC00000"/>
      <name val="Calibri"/>
      <family val="2"/>
      <scheme val="minor"/>
    </font>
    <font>
      <b/>
      <sz val="20"/>
      <color rgb="FFFF0000"/>
      <name val="Calibri"/>
      <family val="2"/>
      <scheme val="minor"/>
    </font>
    <font>
      <b/>
      <sz val="20"/>
      <color theme="0"/>
      <name val="Calibri"/>
      <family val="2"/>
      <scheme val="minor"/>
    </font>
    <font>
      <b/>
      <u/>
      <sz val="12"/>
      <color theme="1"/>
      <name val="Calibri"/>
      <family val="2"/>
      <scheme val="minor"/>
    </font>
    <font>
      <b/>
      <i/>
      <sz val="12"/>
      <color theme="4" tint="-0.249977111117893"/>
      <name val="Calibri"/>
      <family val="2"/>
      <scheme val="minor"/>
    </font>
    <font>
      <i/>
      <sz val="12"/>
      <color theme="4" tint="-0.249977111117893"/>
      <name val="Calibri"/>
      <family val="2"/>
      <scheme val="minor"/>
    </font>
    <font>
      <b/>
      <i/>
      <sz val="16"/>
      <color theme="4" tint="-0.249977111117893"/>
      <name val="Calibri"/>
      <family val="2"/>
      <scheme val="minor"/>
    </font>
    <font>
      <b/>
      <u/>
      <sz val="14"/>
      <color theme="10"/>
      <name val="Calibri"/>
      <family val="2"/>
      <scheme val="minor"/>
    </font>
    <font>
      <b/>
      <sz val="12"/>
      <color theme="4" tint="-0.249977111117893"/>
      <name val="Calibri"/>
      <family val="2"/>
      <scheme val="minor"/>
    </font>
    <font>
      <sz val="11"/>
      <color rgb="FFFF0000"/>
      <name val="Calibri"/>
      <family val="2"/>
      <scheme val="minor"/>
    </font>
    <font>
      <sz val="11"/>
      <color theme="1"/>
      <name val="Calibri"/>
      <family val="2"/>
    </font>
    <font>
      <i/>
      <sz val="14"/>
      <color theme="1"/>
      <name val="Calibri"/>
      <family val="2"/>
    </font>
    <font>
      <b/>
      <i/>
      <sz val="14"/>
      <color theme="1"/>
      <name val="Calibri"/>
      <family val="2"/>
    </font>
    <font>
      <b/>
      <i/>
      <u/>
      <sz val="14"/>
      <color theme="1"/>
      <name val="Calibri"/>
      <family val="2"/>
    </font>
    <font>
      <b/>
      <sz val="18"/>
      <color theme="0"/>
      <name val="Calibri"/>
      <family val="2"/>
    </font>
    <font>
      <b/>
      <sz val="13"/>
      <color theme="1"/>
      <name val="Calibri"/>
      <family val="2"/>
    </font>
    <font>
      <sz val="11"/>
      <color rgb="FF000000"/>
      <name val="Calibri"/>
      <family val="2"/>
    </font>
    <font>
      <b/>
      <sz val="12"/>
      <color theme="1"/>
      <name val="Calibri"/>
      <family val="2"/>
    </font>
    <font>
      <sz val="12"/>
      <color theme="1"/>
      <name val="Calibri"/>
      <family val="2"/>
    </font>
    <font>
      <b/>
      <sz val="11"/>
      <color theme="1"/>
      <name val="Calibri"/>
      <family val="2"/>
    </font>
    <font>
      <b/>
      <i/>
      <sz val="10.199999999999999"/>
      <color theme="1"/>
      <name val="Arial Nova"/>
      <family val="2"/>
    </font>
    <font>
      <sz val="12"/>
      <color theme="0"/>
      <name val="Arial Nova"/>
      <family val="2"/>
    </font>
    <font>
      <b/>
      <sz val="18"/>
      <color rgb="FFFF0000"/>
      <name val="Calibri"/>
      <family val="2"/>
      <scheme val="minor"/>
    </font>
    <font>
      <b/>
      <strike/>
      <sz val="12"/>
      <name val="Calibri"/>
      <family val="2"/>
      <scheme val="minor"/>
    </font>
    <font>
      <strike/>
      <sz val="11"/>
      <color theme="1"/>
      <name val="Calibri"/>
      <family val="2"/>
      <scheme val="minor"/>
    </font>
    <font>
      <sz val="11"/>
      <color rgb="FFFF0000"/>
      <name val="Calibri"/>
      <family val="2"/>
    </font>
    <font>
      <b/>
      <sz val="10"/>
      <color theme="1"/>
      <name val="Calibri"/>
      <family val="2"/>
      <scheme val="minor"/>
    </font>
    <font>
      <b/>
      <sz val="16"/>
      <color theme="0"/>
      <name val="Calibri"/>
      <family val="2"/>
    </font>
    <font>
      <b/>
      <sz val="12"/>
      <color rgb="FFFF0000"/>
      <name val="Calibri"/>
      <family val="2"/>
    </font>
    <font>
      <b/>
      <u/>
      <sz val="13"/>
      <color theme="1"/>
      <name val="Calibri"/>
      <family val="2"/>
    </font>
    <font>
      <sz val="14"/>
      <name val="Calibri"/>
      <family val="2"/>
      <scheme val="minor"/>
    </font>
    <font>
      <u/>
      <sz val="14"/>
      <name val="Calibri"/>
      <family val="2"/>
      <scheme val="minor"/>
    </font>
  </fonts>
  <fills count="34">
    <fill>
      <patternFill patternType="none"/>
    </fill>
    <fill>
      <patternFill patternType="gray125"/>
    </fill>
    <fill>
      <patternFill patternType="solid">
        <fgColor theme="9" tint="0.79998168889431442"/>
        <bgColor indexed="64"/>
      </patternFill>
    </fill>
    <fill>
      <patternFill patternType="solid">
        <fgColor theme="4" tint="-0.249977111117893"/>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rgb="FF00B050"/>
        <bgColor indexed="64"/>
      </patternFill>
    </fill>
    <fill>
      <patternFill patternType="solid">
        <fgColor theme="8" tint="-0.499984740745262"/>
        <bgColor indexed="64"/>
      </patternFill>
    </fill>
    <fill>
      <patternFill patternType="solid">
        <fgColor rgb="FF153D63"/>
        <bgColor indexed="64"/>
      </patternFill>
    </fill>
    <fill>
      <patternFill patternType="solid">
        <fgColor theme="8" tint="-0.249977111117893"/>
        <bgColor indexed="64"/>
      </patternFill>
    </fill>
    <fill>
      <patternFill patternType="solid">
        <fgColor theme="7" tint="0.39997558519241921"/>
        <bgColor indexed="64"/>
      </patternFill>
    </fill>
    <fill>
      <patternFill patternType="solid">
        <fgColor theme="1"/>
        <bgColor indexed="64"/>
      </patternFill>
    </fill>
    <fill>
      <patternFill patternType="solid">
        <fgColor theme="3"/>
        <bgColor indexed="64"/>
      </patternFill>
    </fill>
    <fill>
      <patternFill patternType="solid">
        <fgColor theme="2"/>
        <bgColor indexed="64"/>
      </patternFill>
    </fill>
    <fill>
      <patternFill patternType="solid">
        <fgColor rgb="FFD6DCE4"/>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C000"/>
        <bgColor indexed="64"/>
      </patternFill>
    </fill>
    <fill>
      <patternFill patternType="solid">
        <fgColor rgb="FF305496"/>
        <bgColor indexed="64"/>
      </patternFill>
    </fill>
    <fill>
      <patternFill patternType="solid">
        <fgColor rgb="FFB4C6E7"/>
        <bgColor indexed="64"/>
      </patternFill>
    </fill>
    <fill>
      <patternFill patternType="solid">
        <fgColor rgb="FFFFCCFF"/>
        <bgColor indexed="64"/>
      </patternFill>
    </fill>
    <fill>
      <patternFill patternType="solid">
        <fgColor rgb="FFBFBFBF"/>
        <bgColor indexed="64"/>
      </patternFill>
    </fill>
    <fill>
      <patternFill patternType="solid">
        <fgColor rgb="FFEDEDED"/>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top/>
      <bottom style="double">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style="medium">
        <color indexed="64"/>
      </left>
      <right/>
      <top/>
      <bottom style="double">
        <color indexed="64"/>
      </bottom>
      <diagonal/>
    </border>
    <border>
      <left style="medium">
        <color indexed="64"/>
      </left>
      <right/>
      <top/>
      <bottom style="thin">
        <color indexed="64"/>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rgb="FF7F7F7F"/>
      </right>
      <top style="thin">
        <color rgb="FF7F7F7F"/>
      </top>
      <bottom style="thin">
        <color rgb="FF7F7F7F"/>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thin">
        <color rgb="FF7F7F7F"/>
      </bottom>
      <diagonal/>
    </border>
    <border>
      <left style="thin">
        <color rgb="FF7F7F7F"/>
      </left>
      <right/>
      <top style="thin">
        <color rgb="FF7F7F7F"/>
      </top>
      <bottom style="thin">
        <color rgb="FF7F7F7F"/>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rgb="FF000000"/>
      </left>
      <right style="medium">
        <color rgb="FF000000"/>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ck">
        <color indexed="64"/>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right style="thick">
        <color auto="1"/>
      </right>
      <top style="thick">
        <color auto="1"/>
      </top>
      <bottom style="thick">
        <color auto="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thick">
        <color indexed="64"/>
      </left>
      <right/>
      <top/>
      <bottom style="medium">
        <color indexed="64"/>
      </bottom>
      <diagonal/>
    </border>
    <border>
      <left style="thick">
        <color indexed="64"/>
      </left>
      <right/>
      <top/>
      <bottom/>
      <diagonal/>
    </border>
    <border>
      <left style="thick">
        <color indexed="64"/>
      </left>
      <right/>
      <top style="medium">
        <color indexed="64"/>
      </top>
      <bottom style="medium">
        <color indexed="64"/>
      </bottom>
      <diagonal/>
    </border>
    <border>
      <left style="thick">
        <color indexed="64"/>
      </left>
      <right/>
      <top style="thick">
        <color indexed="64"/>
      </top>
      <bottom style="medium">
        <color indexed="64"/>
      </bottom>
      <diagonal/>
    </border>
    <border>
      <left/>
      <right style="medium">
        <color indexed="64"/>
      </right>
      <top style="thick">
        <color indexed="64"/>
      </top>
      <bottom style="medium">
        <color indexed="64"/>
      </bottom>
      <diagonal/>
    </border>
  </borders>
  <cellStyleXfs count="14">
    <xf numFmtId="0" fontId="0" fillId="0" borderId="0"/>
    <xf numFmtId="9" fontId="3" fillId="0" borderId="0" applyFont="0" applyFill="0" applyBorder="0" applyAlignment="0" applyProtection="0"/>
    <xf numFmtId="0" fontId="6" fillId="6" borderId="4" applyNumberFormat="0" applyAlignment="0" applyProtection="0"/>
    <xf numFmtId="0" fontId="7" fillId="7" borderId="5" applyNumberFormat="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10" fillId="0" borderId="0"/>
    <xf numFmtId="44" fontId="3" fillId="0" borderId="0" applyFont="0" applyFill="0" applyBorder="0" applyAlignment="0" applyProtection="0"/>
    <xf numFmtId="44" fontId="3" fillId="0" borderId="0" applyFont="0" applyFill="0" applyBorder="0" applyAlignment="0" applyProtection="0"/>
    <xf numFmtId="0" fontId="12" fillId="6" borderId="4" applyNumberFormat="0" applyAlignment="0" applyProtection="0"/>
    <xf numFmtId="0" fontId="13" fillId="7" borderId="5" applyNumberFormat="0" applyAlignment="0" applyProtection="0"/>
    <xf numFmtId="0" fontId="14" fillId="0" borderId="0" applyNumberFormat="0" applyFill="0" applyBorder="0" applyAlignment="0" applyProtection="0"/>
    <xf numFmtId="0" fontId="19" fillId="0" borderId="0" applyNumberFormat="0" applyFill="0" applyBorder="0" applyAlignment="0" applyProtection="0"/>
    <xf numFmtId="43" fontId="3" fillId="0" borderId="0" applyFont="0" applyFill="0" applyBorder="0" applyAlignment="0" applyProtection="0"/>
  </cellStyleXfs>
  <cellXfs count="1239">
    <xf numFmtId="0" fontId="0" fillId="0" borderId="0" xfId="0"/>
    <xf numFmtId="0" fontId="1" fillId="0" borderId="0" xfId="0" applyFont="1"/>
    <xf numFmtId="0" fontId="1" fillId="0" borderId="0" xfId="0" applyFont="1" applyAlignment="1">
      <alignment horizontal="left"/>
    </xf>
    <xf numFmtId="0" fontId="0" fillId="11" borderId="0" xfId="0" applyFill="1"/>
    <xf numFmtId="0" fontId="22" fillId="11" borderId="0" xfId="0" applyFont="1" applyFill="1"/>
    <xf numFmtId="0" fontId="22" fillId="0" borderId="0" xfId="0" applyFont="1"/>
    <xf numFmtId="0" fontId="17" fillId="11" borderId="0" xfId="0" applyFont="1" applyFill="1"/>
    <xf numFmtId="0" fontId="17" fillId="0" borderId="0" xfId="0" applyFont="1"/>
    <xf numFmtId="0" fontId="0" fillId="0" borderId="0" xfId="0" applyAlignment="1">
      <alignment wrapText="1"/>
    </xf>
    <xf numFmtId="0" fontId="10" fillId="11" borderId="0" xfId="0" applyFont="1" applyFill="1"/>
    <xf numFmtId="169" fontId="10" fillId="11" borderId="0" xfId="0" applyNumberFormat="1" applyFont="1" applyFill="1"/>
    <xf numFmtId="0" fontId="10" fillId="11" borderId="21" xfId="0" applyFont="1" applyFill="1" applyBorder="1"/>
    <xf numFmtId="0" fontId="24" fillId="11" borderId="0" xfId="0" applyFont="1" applyFill="1"/>
    <xf numFmtId="0" fontId="10" fillId="11" borderId="15" xfId="0" applyFont="1" applyFill="1" applyBorder="1"/>
    <xf numFmtId="0" fontId="10" fillId="0" borderId="0" xfId="0" applyFont="1"/>
    <xf numFmtId="0" fontId="24" fillId="11" borderId="21" xfId="0" applyFont="1" applyFill="1" applyBorder="1"/>
    <xf numFmtId="0" fontId="10" fillId="11" borderId="22" xfId="0" applyFont="1" applyFill="1" applyBorder="1"/>
    <xf numFmtId="0" fontId="10" fillId="11" borderId="23" xfId="0" applyFont="1" applyFill="1" applyBorder="1"/>
    <xf numFmtId="44" fontId="10" fillId="11" borderId="0" xfId="7" applyFont="1" applyFill="1" applyProtection="1"/>
    <xf numFmtId="0" fontId="29" fillId="11" borderId="15" xfId="0" applyFont="1" applyFill="1" applyBorder="1"/>
    <xf numFmtId="0" fontId="28" fillId="0" borderId="15" xfId="0" applyFont="1" applyBorder="1" applyAlignment="1">
      <alignment horizontal="left"/>
    </xf>
    <xf numFmtId="0" fontId="28" fillId="15" borderId="1" xfId="0" applyFont="1" applyFill="1" applyBorder="1" applyAlignment="1">
      <alignment horizontal="right"/>
    </xf>
    <xf numFmtId="164" fontId="28" fillId="0" borderId="1" xfId="0" applyNumberFormat="1" applyFont="1" applyBorder="1"/>
    <xf numFmtId="164" fontId="28" fillId="2" borderId="1" xfId="0" applyNumberFormat="1" applyFont="1" applyFill="1" applyBorder="1" applyProtection="1">
      <protection locked="0"/>
    </xf>
    <xf numFmtId="0" fontId="32" fillId="15" borderId="1" xfId="0" applyFont="1" applyFill="1" applyBorder="1" applyAlignment="1">
      <alignment horizontal="right"/>
    </xf>
    <xf numFmtId="0" fontId="32" fillId="11" borderId="15" xfId="0" applyFont="1" applyFill="1" applyBorder="1" applyAlignment="1">
      <alignment horizontal="left"/>
    </xf>
    <xf numFmtId="0" fontId="28" fillId="11" borderId="15" xfId="0" applyFont="1" applyFill="1" applyBorder="1" applyAlignment="1">
      <alignment horizontal="left"/>
    </xf>
    <xf numFmtId="164" fontId="28" fillId="2" borderId="36" xfId="0" applyNumberFormat="1" applyFont="1" applyFill="1" applyBorder="1" applyProtection="1">
      <protection locked="0"/>
    </xf>
    <xf numFmtId="0" fontId="28" fillId="11" borderId="15" xfId="0" applyFont="1" applyFill="1" applyBorder="1"/>
    <xf numFmtId="0" fontId="3" fillId="11" borderId="0" xfId="0" applyFont="1" applyFill="1"/>
    <xf numFmtId="0" fontId="3" fillId="0" borderId="0" xfId="0" applyFont="1"/>
    <xf numFmtId="0" fontId="34" fillId="11" borderId="15" xfId="0" applyFont="1" applyFill="1" applyBorder="1" applyAlignment="1">
      <alignment horizontal="left"/>
    </xf>
    <xf numFmtId="0" fontId="3" fillId="11" borderId="21" xfId="0" applyFont="1" applyFill="1" applyBorder="1"/>
    <xf numFmtId="0" fontId="33" fillId="11" borderId="15" xfId="0" applyFont="1" applyFill="1" applyBorder="1"/>
    <xf numFmtId="164" fontId="35" fillId="0" borderId="1" xfId="0" applyNumberFormat="1" applyFont="1" applyBorder="1"/>
    <xf numFmtId="0" fontId="36" fillId="11" borderId="0" xfId="0" applyFont="1" applyFill="1"/>
    <xf numFmtId="0" fontId="28" fillId="15" borderId="7" xfId="0" applyFont="1" applyFill="1" applyBorder="1" applyAlignment="1">
      <alignment horizontal="right"/>
    </xf>
    <xf numFmtId="164" fontId="28" fillId="2" borderId="7" xfId="0" applyNumberFormat="1" applyFont="1" applyFill="1" applyBorder="1" applyProtection="1">
      <protection locked="0"/>
    </xf>
    <xf numFmtId="0" fontId="35" fillId="11" borderId="15" xfId="0" applyFont="1" applyFill="1" applyBorder="1"/>
    <xf numFmtId="164" fontId="35" fillId="11" borderId="1" xfId="0" applyNumberFormat="1" applyFont="1" applyFill="1" applyBorder="1"/>
    <xf numFmtId="164" fontId="32" fillId="0" borderId="1" xfId="0" applyNumberFormat="1" applyFont="1" applyBorder="1"/>
    <xf numFmtId="0" fontId="10" fillId="15" borderId="1" xfId="0" applyFont="1" applyFill="1" applyBorder="1" applyAlignment="1">
      <alignment horizontal="right"/>
    </xf>
    <xf numFmtId="0" fontId="10" fillId="15" borderId="1" xfId="0" applyFont="1" applyFill="1" applyBorder="1"/>
    <xf numFmtId="0" fontId="32" fillId="11" borderId="15" xfId="0" applyFont="1" applyFill="1" applyBorder="1"/>
    <xf numFmtId="0" fontId="24" fillId="15" borderId="1" xfId="0" applyFont="1" applyFill="1" applyBorder="1"/>
    <xf numFmtId="164" fontId="10" fillId="11" borderId="1" xfId="0" applyNumberFormat="1" applyFont="1" applyFill="1" applyBorder="1"/>
    <xf numFmtId="164" fontId="10" fillId="2" borderId="1" xfId="0" applyNumberFormat="1" applyFont="1" applyFill="1" applyBorder="1" applyProtection="1">
      <protection locked="0"/>
    </xf>
    <xf numFmtId="164" fontId="24" fillId="0" borderId="1" xfId="0" applyNumberFormat="1" applyFont="1" applyBorder="1"/>
    <xf numFmtId="0" fontId="10" fillId="15" borderId="35" xfId="0" applyFont="1" applyFill="1" applyBorder="1"/>
    <xf numFmtId="164" fontId="10" fillId="11" borderId="35" xfId="0" applyNumberFormat="1" applyFont="1" applyFill="1" applyBorder="1"/>
    <xf numFmtId="0" fontId="10" fillId="11" borderId="24" xfId="0" applyFont="1" applyFill="1" applyBorder="1"/>
    <xf numFmtId="0" fontId="39" fillId="0" borderId="0" xfId="0" applyFont="1" applyAlignment="1">
      <alignment horizontal="left"/>
    </xf>
    <xf numFmtId="0" fontId="24" fillId="5" borderId="1" xfId="0" applyFont="1" applyFill="1" applyBorder="1" applyAlignment="1">
      <alignment vertical="center" wrapText="1"/>
    </xf>
    <xf numFmtId="165" fontId="28" fillId="8" borderId="1" xfId="4" applyNumberFormat="1" applyFont="1" applyFill="1" applyBorder="1" applyAlignment="1" applyProtection="1">
      <alignment horizontal="center" vertical="center"/>
    </xf>
    <xf numFmtId="0" fontId="32" fillId="8" borderId="1" xfId="3" applyFont="1" applyFill="1" applyBorder="1" applyAlignment="1" applyProtection="1">
      <alignment horizontal="left" vertical="center" wrapText="1"/>
    </xf>
    <xf numFmtId="10" fontId="32" fillId="8" borderId="1" xfId="3" applyNumberFormat="1" applyFont="1" applyFill="1" applyBorder="1" applyAlignment="1" applyProtection="1">
      <alignment horizontal="center" vertical="center"/>
    </xf>
    <xf numFmtId="0" fontId="0" fillId="0" borderId="21" xfId="0" applyBorder="1"/>
    <xf numFmtId="44" fontId="0" fillId="0" borderId="0" xfId="0" applyNumberFormat="1"/>
    <xf numFmtId="0" fontId="47" fillId="0" borderId="0" xfId="12" applyFont="1" applyFill="1" applyBorder="1" applyAlignment="1" applyProtection="1">
      <alignment horizontal="center"/>
    </xf>
    <xf numFmtId="0" fontId="24" fillId="5" borderId="25" xfId="0" applyFont="1" applyFill="1" applyBorder="1" applyAlignment="1">
      <alignment vertical="center" wrapText="1"/>
    </xf>
    <xf numFmtId="0" fontId="28" fillId="11" borderId="15" xfId="0" applyFont="1" applyFill="1" applyBorder="1" applyAlignment="1">
      <alignment horizontal="right"/>
    </xf>
    <xf numFmtId="0" fontId="32" fillId="11" borderId="41" xfId="0" applyFont="1" applyFill="1" applyBorder="1" applyAlignment="1">
      <alignment horizontal="left"/>
    </xf>
    <xf numFmtId="0" fontId="24" fillId="5" borderId="15" xfId="0" applyFont="1" applyFill="1" applyBorder="1" applyAlignment="1">
      <alignment vertical="center" wrapText="1"/>
    </xf>
    <xf numFmtId="0" fontId="32" fillId="11" borderId="42" xfId="0" applyFont="1" applyFill="1" applyBorder="1"/>
    <xf numFmtId="164" fontId="32" fillId="11" borderId="0" xfId="0" applyNumberFormat="1" applyFont="1" applyFill="1"/>
    <xf numFmtId="0" fontId="24" fillId="5" borderId="26" xfId="0" applyFont="1" applyFill="1" applyBorder="1" applyAlignment="1">
      <alignment vertical="center" wrapText="1"/>
    </xf>
    <xf numFmtId="0" fontId="24" fillId="5" borderId="27" xfId="0" applyFont="1" applyFill="1" applyBorder="1" applyAlignment="1">
      <alignment vertical="center" wrapText="1"/>
    </xf>
    <xf numFmtId="0" fontId="24" fillId="5" borderId="21" xfId="0" applyFont="1" applyFill="1" applyBorder="1" applyAlignment="1">
      <alignment vertical="center" wrapText="1"/>
    </xf>
    <xf numFmtId="0" fontId="19" fillId="11" borderId="0" xfId="12" applyFill="1" applyProtection="1"/>
    <xf numFmtId="171" fontId="0" fillId="11" borderId="0" xfId="1" applyNumberFormat="1" applyFont="1" applyFill="1" applyAlignment="1" applyProtection="1">
      <alignment horizontal="center"/>
    </xf>
    <xf numFmtId="171" fontId="0" fillId="11" borderId="26" xfId="1" applyNumberFormat="1" applyFont="1" applyFill="1" applyBorder="1" applyAlignment="1" applyProtection="1">
      <alignment horizontal="center"/>
    </xf>
    <xf numFmtId="9" fontId="20" fillId="0" borderId="1" xfId="1" applyFont="1" applyFill="1" applyBorder="1" applyAlignment="1" applyProtection="1">
      <alignment horizontal="center"/>
    </xf>
    <xf numFmtId="10" fontId="20" fillId="0" borderId="1" xfId="1" applyNumberFormat="1" applyFont="1" applyFill="1" applyBorder="1" applyAlignment="1" applyProtection="1">
      <alignment horizontal="center"/>
    </xf>
    <xf numFmtId="171" fontId="53" fillId="0" borderId="0" xfId="1" applyNumberFormat="1" applyFont="1" applyFill="1" applyBorder="1" applyAlignment="1" applyProtection="1">
      <alignment horizontal="center"/>
    </xf>
    <xf numFmtId="171" fontId="49" fillId="11" borderId="0" xfId="1" applyNumberFormat="1" applyFont="1" applyFill="1" applyBorder="1" applyAlignment="1" applyProtection="1">
      <alignment horizontal="center"/>
    </xf>
    <xf numFmtId="171" fontId="0" fillId="11" borderId="23" xfId="1" applyNumberFormat="1" applyFont="1" applyFill="1" applyBorder="1" applyAlignment="1" applyProtection="1">
      <alignment horizontal="center"/>
    </xf>
    <xf numFmtId="0" fontId="0" fillId="0" borderId="15" xfId="0" applyBorder="1"/>
    <xf numFmtId="0" fontId="29" fillId="0" borderId="0" xfId="0" applyFont="1"/>
    <xf numFmtId="0" fontId="10" fillId="0" borderId="15" xfId="0" applyFont="1" applyBorder="1"/>
    <xf numFmtId="10" fontId="20" fillId="0" borderId="0" xfId="1" applyNumberFormat="1" applyFont="1" applyFill="1" applyBorder="1" applyAlignment="1" applyProtection="1">
      <alignment horizontal="center"/>
    </xf>
    <xf numFmtId="9" fontId="20" fillId="0" borderId="0" xfId="1" applyFont="1" applyFill="1" applyBorder="1" applyAlignment="1" applyProtection="1">
      <alignment horizontal="center"/>
    </xf>
    <xf numFmtId="0" fontId="10" fillId="0" borderId="21" xfId="0" applyFont="1" applyBorder="1"/>
    <xf numFmtId="0" fontId="10" fillId="0" borderId="24" xfId="0" applyFont="1" applyBorder="1"/>
    <xf numFmtId="0" fontId="24" fillId="0" borderId="15" xfId="0" applyFont="1" applyBorder="1"/>
    <xf numFmtId="0" fontId="56" fillId="0" borderId="0" xfId="0" applyFont="1" applyAlignment="1">
      <alignment horizontal="center"/>
    </xf>
    <xf numFmtId="0" fontId="10" fillId="0" borderId="15" xfId="0" applyFont="1" applyBorder="1" applyAlignment="1">
      <alignment horizontal="left" indent="1"/>
    </xf>
    <xf numFmtId="0" fontId="24" fillId="0" borderId="0" xfId="0" applyFont="1"/>
    <xf numFmtId="0" fontId="32" fillId="0" borderId="0" xfId="12" applyFont="1" applyFill="1" applyBorder="1" applyAlignment="1" applyProtection="1"/>
    <xf numFmtId="0" fontId="32" fillId="0" borderId="0" xfId="12" applyFont="1" applyFill="1" applyBorder="1" applyAlignment="1" applyProtection="1">
      <alignment vertical="top"/>
    </xf>
    <xf numFmtId="0" fontId="0" fillId="0" borderId="0" xfId="0" applyAlignment="1">
      <alignment horizontal="left"/>
    </xf>
    <xf numFmtId="0" fontId="0" fillId="0" borderId="0" xfId="0" applyAlignment="1">
      <alignment horizontal="left" vertical="top"/>
    </xf>
    <xf numFmtId="0" fontId="43" fillId="19" borderId="15" xfId="0" applyFont="1" applyFill="1" applyBorder="1"/>
    <xf numFmtId="0" fontId="24" fillId="15" borderId="15" xfId="0" applyFont="1" applyFill="1" applyBorder="1"/>
    <xf numFmtId="174" fontId="24" fillId="15" borderId="1" xfId="0" applyNumberFormat="1" applyFont="1" applyFill="1" applyBorder="1"/>
    <xf numFmtId="0" fontId="43" fillId="3" borderId="0" xfId="12" applyFont="1" applyFill="1" applyBorder="1" applyAlignment="1" applyProtection="1"/>
    <xf numFmtId="0" fontId="43" fillId="0" borderId="0" xfId="12" applyFont="1" applyFill="1" applyBorder="1" applyAlignment="1" applyProtection="1"/>
    <xf numFmtId="0" fontId="60" fillId="19" borderId="0" xfId="0" applyFont="1" applyFill="1" applyAlignment="1">
      <alignment horizontal="center"/>
    </xf>
    <xf numFmtId="0" fontId="47" fillId="3" borderId="0" xfId="12" applyFont="1" applyFill="1" applyBorder="1" applyAlignment="1" applyProtection="1"/>
    <xf numFmtId="0" fontId="29" fillId="0" borderId="21" xfId="0" applyFont="1" applyBorder="1"/>
    <xf numFmtId="0" fontId="28" fillId="0" borderId="1" xfId="0" applyFont="1" applyBorder="1" applyAlignment="1">
      <alignment horizontal="right"/>
    </xf>
    <xf numFmtId="0" fontId="28" fillId="0" borderId="15" xfId="0" applyFont="1" applyBorder="1"/>
    <xf numFmtId="164" fontId="28" fillId="2" borderId="53" xfId="0" applyNumberFormat="1" applyFont="1" applyFill="1" applyBorder="1" applyProtection="1">
      <protection locked="0"/>
    </xf>
    <xf numFmtId="0" fontId="28" fillId="2" borderId="15" xfId="0" applyFont="1" applyFill="1" applyBorder="1" applyAlignment="1" applyProtection="1">
      <alignment horizontal="left" indent="1"/>
      <protection locked="0"/>
    </xf>
    <xf numFmtId="0" fontId="73" fillId="0" borderId="0" xfId="0" applyFont="1" applyAlignment="1">
      <alignment horizontal="left"/>
    </xf>
    <xf numFmtId="0" fontId="74" fillId="0" borderId="0" xfId="0" applyFont="1"/>
    <xf numFmtId="0" fontId="32" fillId="15" borderId="54" xfId="0" applyFont="1" applyFill="1" applyBorder="1" applyAlignment="1">
      <alignment horizontal="right"/>
    </xf>
    <xf numFmtId="0" fontId="28" fillId="15" borderId="36" xfId="0" applyFont="1" applyFill="1" applyBorder="1" applyAlignment="1">
      <alignment horizontal="right"/>
    </xf>
    <xf numFmtId="0" fontId="28" fillId="15" borderId="55" xfId="0" applyFont="1" applyFill="1" applyBorder="1" applyAlignment="1">
      <alignment horizontal="right"/>
    </xf>
    <xf numFmtId="164" fontId="28" fillId="2" borderId="55" xfId="0" applyNumberFormat="1" applyFont="1" applyFill="1" applyBorder="1" applyProtection="1">
      <protection locked="0"/>
    </xf>
    <xf numFmtId="0" fontId="32" fillId="0" borderId="1" xfId="12" applyFont="1" applyFill="1" applyBorder="1" applyAlignment="1" applyProtection="1">
      <alignment horizontal="left" vertical="center"/>
    </xf>
    <xf numFmtId="0" fontId="0" fillId="13" borderId="1" xfId="0" applyFill="1" applyBorder="1" applyAlignment="1">
      <alignment horizontal="left" vertical="center"/>
    </xf>
    <xf numFmtId="0" fontId="28" fillId="2" borderId="22" xfId="0" applyFont="1" applyFill="1" applyBorder="1" applyAlignment="1" applyProtection="1">
      <alignment horizontal="left"/>
      <protection locked="0"/>
    </xf>
    <xf numFmtId="0" fontId="28" fillId="15" borderId="70" xfId="0" applyFont="1" applyFill="1" applyBorder="1" applyAlignment="1">
      <alignment horizontal="right"/>
    </xf>
    <xf numFmtId="0" fontId="28" fillId="2" borderId="22" xfId="0" applyFont="1" applyFill="1" applyBorder="1" applyAlignment="1" applyProtection="1">
      <alignment horizontal="left" indent="1"/>
      <protection locked="0"/>
    </xf>
    <xf numFmtId="0" fontId="32" fillId="0" borderId="16" xfId="0" applyFont="1" applyBorder="1" applyAlignment="1">
      <alignment horizontal="left"/>
    </xf>
    <xf numFmtId="175" fontId="28" fillId="2" borderId="1" xfId="2" applyNumberFormat="1" applyFont="1" applyFill="1" applyBorder="1" applyAlignment="1" applyProtection="1">
      <alignment horizontal="center" vertical="center"/>
      <protection locked="0"/>
    </xf>
    <xf numFmtId="0" fontId="28" fillId="15" borderId="54" xfId="0" applyFont="1" applyFill="1" applyBorder="1" applyAlignment="1">
      <alignment horizontal="right"/>
    </xf>
    <xf numFmtId="0" fontId="27" fillId="11" borderId="0" xfId="0" applyFont="1" applyFill="1"/>
    <xf numFmtId="0" fontId="10" fillId="0" borderId="0" xfId="0" applyFont="1" applyAlignment="1">
      <alignment vertical="top"/>
    </xf>
    <xf numFmtId="0" fontId="24" fillId="0" borderId="0" xfId="0" applyFont="1" applyAlignment="1">
      <alignment vertical="top"/>
    </xf>
    <xf numFmtId="0" fontId="24" fillId="0" borderId="0" xfId="0" applyFont="1" applyAlignment="1">
      <alignment horizontal="left" vertical="top"/>
    </xf>
    <xf numFmtId="0" fontId="81" fillId="0" borderId="0" xfId="5" applyFont="1" applyAlignment="1">
      <alignment vertical="center"/>
    </xf>
    <xf numFmtId="0" fontId="82" fillId="21" borderId="0" xfId="0" applyFont="1" applyFill="1" applyAlignment="1">
      <alignment vertical="center"/>
    </xf>
    <xf numFmtId="0" fontId="83" fillId="21" borderId="0" xfId="0" applyFont="1" applyFill="1" applyAlignment="1">
      <alignment vertical="center"/>
    </xf>
    <xf numFmtId="0" fontId="1" fillId="21" borderId="0" xfId="0" applyFont="1" applyFill="1" applyAlignment="1">
      <alignment wrapText="1"/>
    </xf>
    <xf numFmtId="44" fontId="4" fillId="21" borderId="0" xfId="7" applyFont="1" applyFill="1" applyProtection="1"/>
    <xf numFmtId="0" fontId="1" fillId="21" borderId="0" xfId="0" applyFont="1" applyFill="1"/>
    <xf numFmtId="0" fontId="2" fillId="0" borderId="0" xfId="0" applyFont="1" applyAlignment="1">
      <alignment vertical="center"/>
    </xf>
    <xf numFmtId="44" fontId="85" fillId="0" borderId="0" xfId="7" applyFont="1" applyAlignment="1" applyProtection="1">
      <alignment horizontal="left"/>
    </xf>
    <xf numFmtId="44" fontId="85" fillId="0" borderId="0" xfId="7" applyFont="1" applyFill="1" applyAlignment="1" applyProtection="1">
      <alignment horizontal="left"/>
    </xf>
    <xf numFmtId="44" fontId="4" fillId="0" borderId="0" xfId="7" applyFont="1" applyProtection="1"/>
    <xf numFmtId="44" fontId="4" fillId="0" borderId="0" xfId="7" applyFont="1" applyFill="1" applyProtection="1"/>
    <xf numFmtId="0" fontId="86" fillId="0" borderId="0" xfId="0" applyFont="1" applyAlignment="1">
      <alignment vertical="center"/>
    </xf>
    <xf numFmtId="0" fontId="1" fillId="0" borderId="0" xfId="0" applyFont="1" applyAlignment="1">
      <alignment wrapText="1"/>
    </xf>
    <xf numFmtId="0" fontId="1" fillId="0" borderId="0" xfId="0" applyFont="1" applyAlignment="1">
      <alignment vertical="top"/>
    </xf>
    <xf numFmtId="0" fontId="1" fillId="0" borderId="0" xfId="0" applyFont="1" applyAlignment="1">
      <alignment horizontal="left" vertical="top"/>
    </xf>
    <xf numFmtId="0" fontId="1" fillId="0" borderId="0" xfId="0" applyFont="1" applyAlignment="1">
      <alignment horizontal="left" vertical="top" wrapText="1"/>
    </xf>
    <xf numFmtId="0" fontId="88" fillId="22" borderId="74" xfId="1" quotePrefix="1" applyNumberFormat="1" applyFont="1" applyFill="1" applyBorder="1" applyAlignment="1" applyProtection="1">
      <alignment horizontal="center" vertical="center"/>
    </xf>
    <xf numFmtId="49" fontId="4" fillId="0" borderId="0" xfId="7" applyNumberFormat="1" applyFont="1" applyFill="1" applyBorder="1" applyAlignment="1" applyProtection="1">
      <alignment horizontal="center" vertical="top"/>
    </xf>
    <xf numFmtId="168" fontId="4" fillId="0" borderId="0" xfId="7" applyNumberFormat="1" applyFont="1" applyFill="1" applyBorder="1" applyAlignment="1" applyProtection="1">
      <alignment horizontal="center" vertical="top"/>
    </xf>
    <xf numFmtId="9" fontId="89" fillId="0" borderId="0" xfId="1" quotePrefix="1" applyFont="1" applyAlignment="1" applyProtection="1">
      <alignment horizontal="left" vertical="top"/>
    </xf>
    <xf numFmtId="14" fontId="4" fillId="0" borderId="0" xfId="7" applyNumberFormat="1" applyFont="1" applyFill="1" applyBorder="1" applyAlignment="1" applyProtection="1">
      <alignment horizontal="center" vertical="top"/>
    </xf>
    <xf numFmtId="2" fontId="4" fillId="0" borderId="0" xfId="7" applyNumberFormat="1" applyFont="1" applyFill="1" applyBorder="1" applyAlignment="1" applyProtection="1">
      <alignment horizontal="center" vertical="top"/>
    </xf>
    <xf numFmtId="0" fontId="4" fillId="14" borderId="75" xfId="7" applyNumberFormat="1" applyFont="1" applyFill="1" applyBorder="1" applyAlignment="1" applyProtection="1">
      <alignment horizontal="left" vertical="top"/>
    </xf>
    <xf numFmtId="0" fontId="4" fillId="0" borderId="0" xfId="7" applyNumberFormat="1" applyFont="1" applyFill="1" applyBorder="1" applyAlignment="1" applyProtection="1">
      <alignment horizontal="center" vertical="top"/>
    </xf>
    <xf numFmtId="1" fontId="4" fillId="0" borderId="0" xfId="13" applyNumberFormat="1" applyFont="1" applyFill="1" applyBorder="1" applyAlignment="1" applyProtection="1">
      <alignment horizontal="center"/>
    </xf>
    <xf numFmtId="1" fontId="4" fillId="0" borderId="0" xfId="7" applyNumberFormat="1" applyFont="1" applyFill="1" applyBorder="1" applyAlignment="1" applyProtection="1">
      <alignment horizontal="center" vertical="top"/>
    </xf>
    <xf numFmtId="1" fontId="4" fillId="0" borderId="78" xfId="13" applyNumberFormat="1" applyFont="1" applyBorder="1" applyAlignment="1" applyProtection="1">
      <alignment horizontal="center"/>
    </xf>
    <xf numFmtId="0" fontId="2" fillId="0" borderId="0" xfId="0" applyFont="1"/>
    <xf numFmtId="44" fontId="1" fillId="0" borderId="0" xfId="7" applyFont="1" applyProtection="1"/>
    <xf numFmtId="44" fontId="1" fillId="0" borderId="0" xfId="7" applyFont="1" applyFill="1" applyProtection="1"/>
    <xf numFmtId="0" fontId="92" fillId="0" borderId="0" xfId="0" applyFont="1" applyAlignment="1">
      <alignment horizontal="left" vertical="center"/>
    </xf>
    <xf numFmtId="0" fontId="88" fillId="22" borderId="76" xfId="1" quotePrefix="1" applyNumberFormat="1" applyFont="1" applyFill="1" applyBorder="1" applyAlignment="1" applyProtection="1">
      <alignment horizontal="center" vertical="center"/>
    </xf>
    <xf numFmtId="44" fontId="4" fillId="0" borderId="0" xfId="7" applyFont="1" applyFill="1" applyBorder="1" applyAlignment="1" applyProtection="1">
      <alignment vertical="center"/>
    </xf>
    <xf numFmtId="44" fontId="4" fillId="0" borderId="0" xfId="7" applyFont="1" applyBorder="1" applyProtection="1"/>
    <xf numFmtId="44" fontId="4" fillId="0" borderId="0" xfId="7" applyFont="1" applyFill="1" applyBorder="1" applyProtection="1"/>
    <xf numFmtId="0" fontId="1" fillId="0" borderId="0" xfId="0" applyFont="1" applyAlignment="1">
      <alignment horizontal="center"/>
    </xf>
    <xf numFmtId="0" fontId="94" fillId="0" borderId="0" xfId="0" applyFont="1" applyAlignment="1">
      <alignment horizontal="center"/>
    </xf>
    <xf numFmtId="44" fontId="94" fillId="0" borderId="0" xfId="7" applyFont="1" applyAlignment="1" applyProtection="1">
      <alignment horizontal="center" wrapText="1"/>
    </xf>
    <xf numFmtId="44" fontId="94" fillId="0" borderId="0" xfId="7" applyFont="1" applyFill="1" applyAlignment="1" applyProtection="1">
      <alignment horizontal="center" wrapText="1"/>
    </xf>
    <xf numFmtId="0" fontId="92" fillId="0" borderId="0" xfId="0" applyFont="1" applyAlignment="1">
      <alignment horizontal="center"/>
    </xf>
    <xf numFmtId="44" fontId="4" fillId="0" borderId="0" xfId="7" applyFont="1" applyFill="1" applyBorder="1" applyAlignment="1" applyProtection="1">
      <alignment horizontal="center" vertical="center"/>
    </xf>
    <xf numFmtId="0" fontId="4" fillId="0" borderId="0" xfId="7" applyNumberFormat="1" applyFont="1" applyFill="1" applyBorder="1" applyAlignment="1" applyProtection="1">
      <alignment vertical="center"/>
    </xf>
    <xf numFmtId="0" fontId="88" fillId="22" borderId="76" xfId="0" applyFont="1" applyFill="1" applyBorder="1" applyAlignment="1">
      <alignment horizontal="center" vertical="center"/>
    </xf>
    <xf numFmtId="1" fontId="4" fillId="0" borderId="0" xfId="7" applyNumberFormat="1" applyFont="1" applyFill="1" applyBorder="1" applyAlignment="1" applyProtection="1">
      <alignment vertical="center"/>
    </xf>
    <xf numFmtId="44" fontId="4" fillId="0" borderId="0" xfId="7" applyFont="1" applyFill="1" applyBorder="1" applyAlignment="1" applyProtection="1">
      <alignment vertical="top"/>
    </xf>
    <xf numFmtId="44" fontId="94" fillId="0" borderId="0" xfId="7" applyFont="1" applyFill="1" applyBorder="1" applyAlignment="1" applyProtection="1">
      <alignment horizontal="center" vertical="center"/>
    </xf>
    <xf numFmtId="2" fontId="88" fillId="22" borderId="76" xfId="7" applyNumberFormat="1" applyFont="1" applyFill="1" applyBorder="1" applyAlignment="1" applyProtection="1">
      <alignment horizontal="center" vertical="center"/>
    </xf>
    <xf numFmtId="49" fontId="4" fillId="0" borderId="0" xfId="7" applyNumberFormat="1" applyFont="1" applyFill="1" applyBorder="1" applyAlignment="1" applyProtection="1">
      <alignment horizontal="center" vertical="center" wrapText="1"/>
    </xf>
    <xf numFmtId="2" fontId="4" fillId="0" borderId="0" xfId="7" applyNumberFormat="1" applyFont="1" applyFill="1" applyBorder="1" applyAlignment="1" applyProtection="1">
      <alignment vertical="center"/>
    </xf>
    <xf numFmtId="44" fontId="1" fillId="0" borderId="0" xfId="7" applyFont="1" applyFill="1" applyBorder="1" applyProtection="1"/>
    <xf numFmtId="49" fontId="4" fillId="0" borderId="0" xfId="7" applyNumberFormat="1" applyFont="1" applyFill="1" applyBorder="1" applyAlignment="1" applyProtection="1">
      <alignment horizontal="center" vertical="center"/>
    </xf>
    <xf numFmtId="0" fontId="95" fillId="0" borderId="0" xfId="7" applyNumberFormat="1" applyFont="1" applyFill="1" applyBorder="1" applyAlignment="1" applyProtection="1">
      <alignment horizontal="left" vertical="center"/>
    </xf>
    <xf numFmtId="49" fontId="4" fillId="0" borderId="0" xfId="7" applyNumberFormat="1" applyFont="1" applyAlignment="1" applyProtection="1">
      <alignment horizontal="center" vertical="center"/>
    </xf>
    <xf numFmtId="0" fontId="4" fillId="14" borderId="0" xfId="7" applyNumberFormat="1" applyFont="1" applyFill="1" applyBorder="1" applyAlignment="1" applyProtection="1">
      <alignment horizontal="left" vertical="center"/>
    </xf>
    <xf numFmtId="0" fontId="4" fillId="14" borderId="0" xfId="7" applyNumberFormat="1" applyFont="1" applyFill="1" applyBorder="1" applyAlignment="1" applyProtection="1">
      <alignment horizontal="left" vertical="center" wrapText="1" indent="2"/>
    </xf>
    <xf numFmtId="44" fontId="76" fillId="0" borderId="0" xfId="7" applyFont="1" applyFill="1" applyBorder="1" applyAlignment="1" applyProtection="1">
      <alignment vertical="top" wrapText="1"/>
    </xf>
    <xf numFmtId="44" fontId="4" fillId="0" borderId="0" xfId="7" applyFont="1" applyBorder="1" applyAlignment="1" applyProtection="1"/>
    <xf numFmtId="44" fontId="4" fillId="0" borderId="0" xfId="7" applyFont="1" applyFill="1" applyBorder="1" applyAlignment="1" applyProtection="1"/>
    <xf numFmtId="0" fontId="1" fillId="21" borderId="0" xfId="0" applyFont="1" applyFill="1" applyAlignment="1">
      <alignment horizontal="center" vertical="center" wrapText="1"/>
    </xf>
    <xf numFmtId="0" fontId="2" fillId="21" borderId="0" xfId="0" applyFont="1" applyFill="1" applyAlignment="1">
      <alignment horizontal="right" vertical="top"/>
    </xf>
    <xf numFmtId="0" fontId="84" fillId="0" borderId="0" xfId="0" applyFont="1" applyAlignment="1">
      <alignment vertical="center"/>
    </xf>
    <xf numFmtId="0" fontId="2" fillId="0" borderId="0" xfId="0" applyFont="1" applyAlignment="1">
      <alignment horizontal="center" vertical="center"/>
    </xf>
    <xf numFmtId="44" fontId="4" fillId="0" borderId="0" xfId="7" applyFont="1" applyAlignment="1" applyProtection="1">
      <alignment horizontal="left"/>
    </xf>
    <xf numFmtId="9" fontId="97" fillId="0" borderId="0" xfId="1" applyFont="1" applyAlignment="1" applyProtection="1">
      <alignment horizontal="left" vertical="top"/>
    </xf>
    <xf numFmtId="0" fontId="4" fillId="0" borderId="0" xfId="0" applyFont="1"/>
    <xf numFmtId="44" fontId="4" fillId="0" borderId="0" xfId="7" applyFont="1"/>
    <xf numFmtId="0" fontId="98" fillId="0" borderId="0" xfId="0" applyFont="1" applyAlignment="1">
      <alignment vertical="top"/>
    </xf>
    <xf numFmtId="14" fontId="4" fillId="23" borderId="4" xfId="7" applyNumberFormat="1" applyFont="1" applyFill="1" applyBorder="1" applyAlignment="1" applyProtection="1">
      <alignment horizontal="left" vertical="top"/>
    </xf>
    <xf numFmtId="14" fontId="4" fillId="0" borderId="0" xfId="7" applyNumberFormat="1" applyFont="1" applyAlignment="1" applyProtection="1">
      <alignment horizontal="center" vertical="top"/>
      <protection locked="0"/>
    </xf>
    <xf numFmtId="0" fontId="2" fillId="0" borderId="0" xfId="0" applyFont="1" applyAlignment="1">
      <alignment vertical="top"/>
    </xf>
    <xf numFmtId="0" fontId="88" fillId="22" borderId="74" xfId="1" quotePrefix="1" applyNumberFormat="1" applyFont="1" applyFill="1" applyBorder="1" applyAlignment="1">
      <alignment horizontal="center" vertical="center"/>
    </xf>
    <xf numFmtId="0" fontId="4" fillId="23" borderId="75" xfId="7" applyNumberFormat="1" applyFont="1" applyFill="1" applyBorder="1" applyAlignment="1" applyProtection="1">
      <alignment horizontal="left" vertical="top"/>
    </xf>
    <xf numFmtId="49" fontId="4" fillId="0" borderId="0" xfId="7" applyNumberFormat="1" applyFont="1" applyAlignment="1" applyProtection="1">
      <alignment horizontal="center" vertical="top"/>
      <protection locked="0"/>
    </xf>
    <xf numFmtId="0" fontId="4" fillId="0" borderId="0" xfId="0" applyFont="1" applyAlignment="1">
      <alignment vertical="top"/>
    </xf>
    <xf numFmtId="0" fontId="4" fillId="0" borderId="0" xfId="7" applyNumberFormat="1" applyFont="1" applyAlignment="1" applyProtection="1">
      <alignment horizontal="center" vertical="top"/>
      <protection locked="0"/>
    </xf>
    <xf numFmtId="44" fontId="1" fillId="0" borderId="0" xfId="7" applyFont="1" applyAlignment="1" applyProtection="1">
      <alignment horizontal="left"/>
    </xf>
    <xf numFmtId="0" fontId="99" fillId="0" borderId="0" xfId="0" applyFont="1" applyAlignment="1">
      <alignment vertical="center"/>
    </xf>
    <xf numFmtId="0" fontId="1" fillId="0" borderId="0" xfId="0" applyFont="1" applyAlignment="1">
      <alignment horizontal="center" vertical="center"/>
    </xf>
    <xf numFmtId="0" fontId="91" fillId="0" borderId="0" xfId="0" applyFont="1" applyAlignment="1">
      <alignment vertical="center"/>
    </xf>
    <xf numFmtId="0" fontId="4" fillId="0" borderId="0" xfId="0" applyFont="1" applyAlignment="1">
      <alignment vertical="top" wrapText="1"/>
    </xf>
    <xf numFmtId="0" fontId="88" fillId="22" borderId="74" xfId="0" applyFont="1" applyFill="1" applyBorder="1" applyAlignment="1">
      <alignment horizontal="center" vertical="center"/>
    </xf>
    <xf numFmtId="9" fontId="101" fillId="0" borderId="0" xfId="1" quotePrefix="1" applyFont="1" applyAlignment="1" applyProtection="1">
      <alignment horizontal="left" vertical="top"/>
    </xf>
    <xf numFmtId="0" fontId="91" fillId="0" borderId="0" xfId="0" applyFont="1"/>
    <xf numFmtId="9" fontId="102" fillId="0" borderId="0" xfId="1" quotePrefix="1" applyFont="1" applyAlignment="1" applyProtection="1">
      <alignment horizontal="left" vertical="top"/>
    </xf>
    <xf numFmtId="9" fontId="4" fillId="0" borderId="0" xfId="1" applyFont="1" applyProtection="1"/>
    <xf numFmtId="0" fontId="1" fillId="0" borderId="0" xfId="0" applyFont="1" applyAlignment="1">
      <alignment horizontal="left" vertical="center"/>
    </xf>
    <xf numFmtId="0" fontId="97" fillId="0" borderId="0" xfId="0" quotePrefix="1" applyFont="1" applyAlignment="1">
      <alignment vertical="center" wrapText="1"/>
    </xf>
    <xf numFmtId="0" fontId="2" fillId="0" borderId="0" xfId="0" quotePrefix="1" applyFont="1" applyAlignment="1">
      <alignment vertical="center"/>
    </xf>
    <xf numFmtId="0" fontId="92" fillId="0" borderId="0" xfId="0" applyFont="1" applyAlignment="1">
      <alignment horizontal="center" vertical="center"/>
    </xf>
    <xf numFmtId="44" fontId="94" fillId="0" borderId="0" xfId="7" quotePrefix="1" applyFont="1" applyFill="1" applyBorder="1" applyAlignment="1" applyProtection="1">
      <alignment horizontal="left" vertical="center"/>
    </xf>
    <xf numFmtId="9" fontId="103" fillId="0" borderId="0" xfId="1" quotePrefix="1" applyFont="1" applyAlignment="1" applyProtection="1">
      <alignment horizontal="left" vertical="top"/>
    </xf>
    <xf numFmtId="9" fontId="102" fillId="0" borderId="0" xfId="1" applyFont="1" applyAlignment="1" applyProtection="1">
      <alignment horizontal="left" vertical="top"/>
    </xf>
    <xf numFmtId="0" fontId="94" fillId="0" borderId="0" xfId="0" applyFont="1"/>
    <xf numFmtId="0" fontId="99" fillId="0" borderId="0" xfId="0" applyFont="1"/>
    <xf numFmtId="9" fontId="104" fillId="0" borderId="0" xfId="1" applyFont="1" applyAlignment="1" applyProtection="1">
      <alignment horizontal="left" vertical="top"/>
    </xf>
    <xf numFmtId="0" fontId="97" fillId="0" borderId="0" xfId="0" applyFont="1"/>
    <xf numFmtId="0" fontId="1" fillId="0" borderId="0" xfId="0" quotePrefix="1" applyFont="1"/>
    <xf numFmtId="0" fontId="1" fillId="0" borderId="0" xfId="0" quotePrefix="1" applyFont="1" applyAlignment="1">
      <alignment horizontal="center" vertical="center"/>
    </xf>
    <xf numFmtId="44" fontId="94" fillId="0" borderId="0" xfId="7" applyFont="1" applyFill="1" applyBorder="1" applyAlignment="1" applyProtection="1">
      <alignment horizontal="left" vertical="center"/>
    </xf>
    <xf numFmtId="0" fontId="1" fillId="0" borderId="0" xfId="0" applyFont="1" applyAlignment="1">
      <alignment vertical="top" wrapText="1"/>
    </xf>
    <xf numFmtId="0" fontId="1" fillId="0" borderId="0" xfId="0" applyFont="1" applyAlignment="1">
      <alignment horizontal="center" vertical="center" wrapText="1"/>
    </xf>
    <xf numFmtId="44" fontId="4" fillId="0" borderId="0" xfId="7" applyFont="1" applyFill="1" applyBorder="1" applyAlignment="1" applyProtection="1">
      <alignment horizontal="left" vertical="center"/>
    </xf>
    <xf numFmtId="0" fontId="2" fillId="0" borderId="10" xfId="0" quotePrefix="1" applyFont="1" applyBorder="1" applyAlignment="1">
      <alignment wrapText="1"/>
    </xf>
    <xf numFmtId="44" fontId="4" fillId="0" borderId="77" xfId="7" applyFont="1" applyFill="1" applyBorder="1" applyAlignment="1" applyProtection="1">
      <alignment horizontal="left" vertical="center"/>
    </xf>
    <xf numFmtId="44" fontId="4" fillId="0" borderId="0" xfId="7" applyFont="1" applyFill="1" applyBorder="1" applyAlignment="1" applyProtection="1">
      <alignment horizontal="left" vertical="top"/>
    </xf>
    <xf numFmtId="0" fontId="97" fillId="0" borderId="0" xfId="0" applyFont="1" applyAlignment="1">
      <alignment vertical="top"/>
    </xf>
    <xf numFmtId="44" fontId="4" fillId="0" borderId="0" xfId="7" applyFont="1" applyFill="1" applyBorder="1" applyAlignment="1" applyProtection="1">
      <alignment horizontal="left" vertical="top" wrapText="1"/>
    </xf>
    <xf numFmtId="44" fontId="102" fillId="0" borderId="0" xfId="0" applyNumberFormat="1" applyFont="1" applyAlignment="1">
      <alignment vertical="top" wrapText="1"/>
    </xf>
    <xf numFmtId="44" fontId="102" fillId="0" borderId="0" xfId="0" quotePrefix="1" applyNumberFormat="1" applyFont="1" applyAlignment="1">
      <alignment vertical="top" wrapText="1"/>
    </xf>
    <xf numFmtId="0" fontId="91" fillId="0" borderId="0" xfId="0" applyFont="1" applyAlignment="1">
      <alignment horizontal="left"/>
    </xf>
    <xf numFmtId="0" fontId="2" fillId="0" borderId="10" xfId="0" quotePrefix="1" applyFont="1" applyBorder="1"/>
    <xf numFmtId="44" fontId="94" fillId="0" borderId="77" xfId="7" applyFont="1" applyFill="1" applyBorder="1" applyAlignment="1" applyProtection="1">
      <alignment horizontal="left" vertical="center"/>
    </xf>
    <xf numFmtId="44" fontId="97" fillId="0" borderId="0" xfId="0" quotePrefix="1" applyNumberFormat="1" applyFont="1" applyAlignment="1">
      <alignment horizontal="left" vertical="top"/>
    </xf>
    <xf numFmtId="0" fontId="95" fillId="0" borderId="0" xfId="0" applyFont="1" applyAlignment="1">
      <alignment horizontal="left" vertical="top" indent="2"/>
    </xf>
    <xf numFmtId="44" fontId="4" fillId="0" borderId="0" xfId="7" quotePrefix="1" applyFont="1" applyFill="1" applyBorder="1" applyAlignment="1" applyProtection="1">
      <alignment horizontal="left" vertical="center"/>
    </xf>
    <xf numFmtId="9" fontId="97" fillId="0" borderId="0" xfId="1" quotePrefix="1" applyFont="1" applyAlignment="1" applyProtection="1">
      <alignment horizontal="left" vertical="top"/>
    </xf>
    <xf numFmtId="44" fontId="2" fillId="0" borderId="0" xfId="7" applyFont="1" applyFill="1" applyBorder="1" applyAlignment="1" applyProtection="1">
      <alignment horizontal="left"/>
    </xf>
    <xf numFmtId="0" fontId="105" fillId="0" borderId="0" xfId="0" applyFont="1"/>
    <xf numFmtId="0" fontId="106" fillId="0" borderId="0" xfId="0" applyFont="1"/>
    <xf numFmtId="0" fontId="106" fillId="0" borderId="0" xfId="0" applyFont="1" applyAlignment="1">
      <alignment horizontal="center" vertical="center"/>
    </xf>
    <xf numFmtId="44" fontId="106" fillId="0" borderId="0" xfId="7" applyFont="1" applyFill="1" applyBorder="1" applyAlignment="1" applyProtection="1">
      <alignment horizontal="left"/>
    </xf>
    <xf numFmtId="0" fontId="1" fillId="0" borderId="0" xfId="0" applyFont="1" applyAlignment="1">
      <alignment horizontal="left" indent="1"/>
    </xf>
    <xf numFmtId="0" fontId="106" fillId="0" borderId="0" xfId="0" applyFont="1" applyAlignment="1">
      <alignment horizontal="center"/>
    </xf>
    <xf numFmtId="0" fontId="4" fillId="0" borderId="0" xfId="0" applyFont="1" applyAlignment="1">
      <alignment horizontal="center" vertical="center"/>
    </xf>
    <xf numFmtId="0" fontId="101" fillId="0" borderId="0" xfId="0" applyFont="1" applyAlignment="1">
      <alignment vertical="top"/>
    </xf>
    <xf numFmtId="0" fontId="4" fillId="0" borderId="0" xfId="0" applyFont="1" applyAlignment="1">
      <alignment horizontal="center"/>
    </xf>
    <xf numFmtId="0" fontId="94" fillId="0" borderId="10" xfId="0" applyFont="1" applyBorder="1"/>
    <xf numFmtId="44" fontId="4" fillId="0" borderId="77" xfId="7" applyFont="1" applyBorder="1" applyAlignment="1" applyProtection="1">
      <alignment horizontal="left" vertical="center"/>
    </xf>
    <xf numFmtId="0" fontId="106" fillId="0" borderId="0" xfId="0" applyFont="1" applyAlignment="1">
      <alignment vertical="top"/>
    </xf>
    <xf numFmtId="43" fontId="97" fillId="0" borderId="0" xfId="13" applyFont="1" applyAlignment="1" applyProtection="1">
      <alignment horizontal="left" vertical="top"/>
    </xf>
    <xf numFmtId="0" fontId="92" fillId="0" borderId="0" xfId="0" applyFont="1"/>
    <xf numFmtId="0" fontId="94" fillId="0" borderId="10" xfId="0" quotePrefix="1" applyFont="1" applyBorder="1"/>
    <xf numFmtId="0" fontId="84" fillId="0" borderId="10" xfId="0" applyFont="1" applyBorder="1"/>
    <xf numFmtId="0" fontId="84" fillId="0" borderId="10" xfId="0" applyFont="1" applyBorder="1" applyAlignment="1">
      <alignment horizontal="center" vertical="center"/>
    </xf>
    <xf numFmtId="44" fontId="76" fillId="24" borderId="74" xfId="7" applyFont="1" applyFill="1" applyBorder="1" applyAlignment="1" applyProtection="1">
      <alignment horizontal="left" vertical="center"/>
    </xf>
    <xf numFmtId="9" fontId="97" fillId="0" borderId="0" xfId="1" quotePrefix="1" applyFont="1" applyProtection="1"/>
    <xf numFmtId="0" fontId="106" fillId="0" borderId="0" xfId="0" quotePrefix="1" applyFont="1"/>
    <xf numFmtId="0" fontId="106" fillId="0" borderId="0" xfId="0" quotePrefix="1" applyFont="1" applyAlignment="1">
      <alignment horizontal="center" vertical="center"/>
    </xf>
    <xf numFmtId="9" fontId="101" fillId="0" borderId="0" xfId="1" applyFont="1" applyAlignment="1" applyProtection="1">
      <alignment horizontal="left" vertical="top"/>
    </xf>
    <xf numFmtId="44" fontId="4" fillId="0" borderId="0" xfId="7" applyFont="1" applyAlignment="1" applyProtection="1">
      <alignment horizontal="left" vertical="center"/>
    </xf>
    <xf numFmtId="0" fontId="92" fillId="0" borderId="0" xfId="0" applyFont="1" applyAlignment="1">
      <alignment vertical="top"/>
    </xf>
    <xf numFmtId="0" fontId="2" fillId="0" borderId="10" xfId="0" applyFont="1" applyBorder="1" applyAlignment="1">
      <alignment horizontal="left"/>
    </xf>
    <xf numFmtId="43" fontId="94" fillId="0" borderId="77" xfId="13" applyFont="1" applyFill="1" applyBorder="1" applyAlignment="1" applyProtection="1">
      <alignment horizontal="left" vertical="center"/>
    </xf>
    <xf numFmtId="44" fontId="97" fillId="0" borderId="0" xfId="1" applyNumberFormat="1" applyFont="1" applyAlignment="1" applyProtection="1">
      <alignment horizontal="left" vertical="top"/>
    </xf>
    <xf numFmtId="0" fontId="1" fillId="0" borderId="0" xfId="0" quotePrefix="1" applyFont="1" applyAlignment="1">
      <alignment horizontal="right"/>
    </xf>
    <xf numFmtId="178" fontId="4" fillId="0" borderId="0" xfId="13" quotePrefix="1" applyNumberFormat="1" applyFont="1" applyFill="1" applyBorder="1" applyAlignment="1" applyProtection="1">
      <alignment vertical="center"/>
    </xf>
    <xf numFmtId="0" fontId="88" fillId="22" borderId="79" xfId="0" applyFont="1" applyFill="1" applyBorder="1" applyAlignment="1">
      <alignment horizontal="center" vertical="center"/>
    </xf>
    <xf numFmtId="175" fontId="4" fillId="24" borderId="74" xfId="7" applyNumberFormat="1" applyFont="1" applyFill="1" applyBorder="1" applyAlignment="1" applyProtection="1">
      <alignment horizontal="left" vertical="center"/>
      <protection locked="0"/>
    </xf>
    <xf numFmtId="1" fontId="4" fillId="10" borderId="75" xfId="7" applyNumberFormat="1" applyFont="1" applyFill="1" applyBorder="1" applyAlignment="1" applyProtection="1">
      <alignment horizontal="left" vertical="top"/>
    </xf>
    <xf numFmtId="14" fontId="4" fillId="0" borderId="0" xfId="7" applyNumberFormat="1" applyFont="1" applyFill="1" applyBorder="1" applyAlignment="1" applyProtection="1">
      <alignment horizontal="left" vertical="top"/>
    </xf>
    <xf numFmtId="2" fontId="11" fillId="0" borderId="0" xfId="7" applyNumberFormat="1" applyFont="1" applyFill="1" applyBorder="1" applyAlignment="1" applyProtection="1">
      <alignment vertical="center"/>
    </xf>
    <xf numFmtId="44" fontId="11" fillId="0" borderId="0" xfId="7" applyFont="1" applyBorder="1" applyProtection="1"/>
    <xf numFmtId="44" fontId="0" fillId="0" borderId="0" xfId="7" applyFont="1" applyFill="1" applyBorder="1" applyProtection="1"/>
    <xf numFmtId="44" fontId="0" fillId="0" borderId="0" xfId="7" applyFont="1" applyBorder="1" applyProtection="1"/>
    <xf numFmtId="0" fontId="109" fillId="0" borderId="0" xfId="7" applyNumberFormat="1" applyFont="1" applyFill="1" applyBorder="1" applyAlignment="1" applyProtection="1">
      <alignment horizontal="left" vertical="center"/>
    </xf>
    <xf numFmtId="49" fontId="11" fillId="0" borderId="0" xfId="7" applyNumberFormat="1" applyFont="1" applyFill="1" applyBorder="1" applyAlignment="1" applyProtection="1">
      <alignment horizontal="center" vertical="center"/>
    </xf>
    <xf numFmtId="0" fontId="0" fillId="11" borderId="15" xfId="0" applyFill="1" applyBorder="1"/>
    <xf numFmtId="0" fontId="28" fillId="11" borderId="17" xfId="0" applyFont="1" applyFill="1" applyBorder="1" applyAlignment="1">
      <alignment horizontal="left" indent="1"/>
    </xf>
    <xf numFmtId="9" fontId="89" fillId="0" borderId="0" xfId="1" quotePrefix="1" applyFont="1" applyFill="1" applyAlignment="1" applyProtection="1">
      <alignment horizontal="left" vertical="top"/>
    </xf>
    <xf numFmtId="8" fontId="0" fillId="0" borderId="0" xfId="0" applyNumberFormat="1"/>
    <xf numFmtId="1" fontId="28" fillId="0" borderId="0" xfId="7" applyNumberFormat="1" applyFont="1" applyFill="1" applyBorder="1" applyAlignment="1" applyProtection="1">
      <alignment vertical="top"/>
    </xf>
    <xf numFmtId="49" fontId="28" fillId="2" borderId="1" xfId="7" applyNumberFormat="1" applyFont="1" applyFill="1" applyBorder="1" applyAlignment="1" applyProtection="1">
      <alignment vertical="center"/>
      <protection locked="0"/>
    </xf>
    <xf numFmtId="175" fontId="28" fillId="2" borderId="1" xfId="7" applyNumberFormat="1" applyFont="1" applyFill="1" applyBorder="1" applyAlignment="1" applyProtection="1">
      <alignment horizontal="left" vertical="center"/>
      <protection locked="0"/>
    </xf>
    <xf numFmtId="1" fontId="4" fillId="2" borderId="2" xfId="13" applyNumberFormat="1" applyFont="1" applyFill="1" applyBorder="1" applyAlignment="1" applyProtection="1">
      <alignment horizontal="center"/>
      <protection locked="0"/>
    </xf>
    <xf numFmtId="175" fontId="4" fillId="2" borderId="2" xfId="13" applyNumberFormat="1" applyFont="1" applyFill="1" applyBorder="1" applyAlignment="1" applyProtection="1">
      <alignment horizontal="center"/>
      <protection locked="0"/>
    </xf>
    <xf numFmtId="0" fontId="19" fillId="11" borderId="0" xfId="12" applyFill="1" applyAlignment="1" applyProtection="1"/>
    <xf numFmtId="0" fontId="24" fillId="0" borderId="0" xfId="0" applyFont="1" applyAlignment="1">
      <alignment horizontal="left" wrapText="1"/>
    </xf>
    <xf numFmtId="0" fontId="0" fillId="11" borderId="0" xfId="0" applyFill="1" applyAlignment="1">
      <alignment horizontal="left"/>
    </xf>
    <xf numFmtId="0" fontId="0" fillId="11" borderId="21" xfId="0" applyFill="1" applyBorder="1"/>
    <xf numFmtId="0" fontId="24" fillId="11" borderId="15" xfId="0" applyFont="1" applyFill="1" applyBorder="1" applyAlignment="1">
      <alignment horizontal="left" indent="1"/>
    </xf>
    <xf numFmtId="0" fontId="28" fillId="15" borderId="2" xfId="0" applyFont="1" applyFill="1" applyBorder="1" applyAlignment="1">
      <alignment horizontal="right"/>
    </xf>
    <xf numFmtId="0" fontId="11" fillId="11" borderId="0" xfId="0" applyFont="1" applyFill="1"/>
    <xf numFmtId="0" fontId="11" fillId="0" borderId="0" xfId="0" applyFont="1"/>
    <xf numFmtId="0" fontId="24" fillId="0" borderId="15" xfId="0" applyFont="1" applyBorder="1" applyAlignment="1">
      <alignment horizontal="left" indent="1"/>
    </xf>
    <xf numFmtId="0" fontId="17" fillId="11" borderId="15" xfId="0" applyFont="1" applyFill="1" applyBorder="1" applyAlignment="1">
      <alignment horizontal="left" indent="1"/>
    </xf>
    <xf numFmtId="0" fontId="24" fillId="0" borderId="15" xfId="0" applyFont="1" applyBorder="1" applyAlignment="1">
      <alignment horizontal="right"/>
    </xf>
    <xf numFmtId="0" fontId="32" fillId="0" borderId="0" xfId="0" applyFont="1" applyAlignment="1">
      <alignment horizontal="left" vertical="center" wrapText="1"/>
    </xf>
    <xf numFmtId="0" fontId="24" fillId="11" borderId="15" xfId="0" applyFont="1" applyFill="1" applyBorder="1" applyAlignment="1">
      <alignment horizontal="right" indent="1"/>
    </xf>
    <xf numFmtId="0" fontId="112" fillId="0" borderId="15" xfId="0" applyFont="1" applyBorder="1"/>
    <xf numFmtId="0" fontId="0" fillId="0" borderId="21" xfId="0" applyBorder="1" applyAlignment="1">
      <alignment wrapText="1"/>
    </xf>
    <xf numFmtId="0" fontId="0" fillId="0" borderId="0" xfId="0" applyAlignment="1">
      <alignment horizontal="center"/>
    </xf>
    <xf numFmtId="0" fontId="0" fillId="0" borderId="22" xfId="0" applyBorder="1"/>
    <xf numFmtId="0" fontId="0" fillId="0" borderId="23" xfId="0" applyBorder="1"/>
    <xf numFmtId="0" fontId="0" fillId="0" borderId="24" xfId="0" applyBorder="1" applyAlignment="1">
      <alignment wrapText="1"/>
    </xf>
    <xf numFmtId="0" fontId="31" fillId="3" borderId="18" xfId="0" applyFont="1" applyFill="1" applyBorder="1" applyAlignment="1">
      <alignment horizontal="left" vertical="center" wrapText="1"/>
    </xf>
    <xf numFmtId="0" fontId="116" fillId="12" borderId="22" xfId="5" applyFont="1" applyFill="1" applyBorder="1" applyProtection="1"/>
    <xf numFmtId="0" fontId="0" fillId="12" borderId="23" xfId="0" applyFill="1" applyBorder="1"/>
    <xf numFmtId="0" fontId="0" fillId="12" borderId="24" xfId="0" applyFill="1" applyBorder="1" applyAlignment="1">
      <alignment wrapText="1"/>
    </xf>
    <xf numFmtId="0" fontId="17" fillId="11" borderId="0" xfId="0" applyFont="1" applyFill="1" applyAlignment="1">
      <alignment horizontal="left" indent="1"/>
    </xf>
    <xf numFmtId="0" fontId="43" fillId="3" borderId="1" xfId="0" applyFont="1" applyFill="1" applyBorder="1" applyAlignment="1">
      <alignment horizontal="center" vertical="center" wrapText="1"/>
    </xf>
    <xf numFmtId="0" fontId="11" fillId="11" borderId="0" xfId="0" applyFont="1" applyFill="1" applyAlignment="1">
      <alignment vertical="center" wrapText="1"/>
    </xf>
    <xf numFmtId="0" fontId="0" fillId="11" borderId="0" xfId="0" applyFill="1" applyAlignment="1">
      <alignment vertical="center" wrapText="1"/>
    </xf>
    <xf numFmtId="0" fontId="17" fillId="27" borderId="1" xfId="0" applyFont="1" applyFill="1" applyBorder="1" applyAlignment="1">
      <alignment horizontal="center" vertical="center" wrapText="1"/>
    </xf>
    <xf numFmtId="0" fontId="11" fillId="0" borderId="0" xfId="0" applyFont="1" applyAlignment="1">
      <alignment vertical="center" wrapText="1"/>
    </xf>
    <xf numFmtId="0" fontId="0" fillId="0" borderId="0" xfId="0" applyAlignment="1">
      <alignment vertical="center" wrapText="1"/>
    </xf>
    <xf numFmtId="0" fontId="17" fillId="28" borderId="1" xfId="0" applyFont="1" applyFill="1" applyBorder="1" applyAlignment="1">
      <alignment horizontal="center" vertical="center" wrapText="1"/>
    </xf>
    <xf numFmtId="0" fontId="21" fillId="13" borderId="7" xfId="0" applyFont="1" applyFill="1" applyBorder="1" applyAlignment="1">
      <alignment horizontal="left" indent="1"/>
    </xf>
    <xf numFmtId="0" fontId="17" fillId="13" borderId="6" xfId="0" applyFont="1" applyFill="1" applyBorder="1" applyAlignment="1">
      <alignment horizontal="left" indent="1"/>
    </xf>
    <xf numFmtId="0" fontId="11" fillId="15" borderId="1" xfId="0" applyFont="1" applyFill="1" applyBorder="1" applyAlignment="1">
      <alignment horizontal="right"/>
    </xf>
    <xf numFmtId="0" fontId="0" fillId="13" borderId="1" xfId="0" applyFill="1" applyBorder="1" applyAlignment="1">
      <alignment horizontal="center"/>
    </xf>
    <xf numFmtId="0" fontId="108" fillId="0" borderId="0" xfId="0" applyFont="1" applyAlignment="1">
      <alignment horizontal="center" vertical="center"/>
    </xf>
    <xf numFmtId="0" fontId="18" fillId="0" borderId="0" xfId="0" applyFont="1"/>
    <xf numFmtId="0" fontId="18" fillId="0" borderId="0" xfId="0" applyFont="1" applyAlignment="1">
      <alignment horizontal="left"/>
    </xf>
    <xf numFmtId="0" fontId="18" fillId="11" borderId="0" xfId="0" applyFont="1" applyFill="1"/>
    <xf numFmtId="0" fontId="0" fillId="0" borderId="0" xfId="0" applyAlignment="1">
      <alignment horizontal="left" vertical="center" indent="4"/>
    </xf>
    <xf numFmtId="0" fontId="37" fillId="0" borderId="0" xfId="0" applyFont="1" applyAlignment="1">
      <alignment horizontal="left" vertical="center"/>
    </xf>
    <xf numFmtId="0" fontId="24" fillId="4" borderId="1" xfId="0" applyFont="1" applyFill="1" applyBorder="1" applyAlignment="1">
      <alignment vertical="center" wrapText="1"/>
    </xf>
    <xf numFmtId="0" fontId="28" fillId="0" borderId="0" xfId="0" applyFont="1"/>
    <xf numFmtId="0" fontId="10" fillId="0" borderId="0" xfId="0" applyFont="1" applyAlignment="1">
      <alignment vertical="center" wrapText="1"/>
    </xf>
    <xf numFmtId="0" fontId="47" fillId="0" borderId="0" xfId="0" applyFont="1" applyAlignment="1">
      <alignment vertical="center" wrapText="1"/>
    </xf>
    <xf numFmtId="0" fontId="10" fillId="0" borderId="11" xfId="0" applyFont="1" applyBorder="1" applyAlignment="1">
      <alignment vertical="center" wrapText="1"/>
    </xf>
    <xf numFmtId="0" fontId="10" fillId="0" borderId="0" xfId="0" applyFont="1" applyAlignment="1">
      <alignment vertical="center"/>
    </xf>
    <xf numFmtId="0" fontId="24" fillId="0" borderId="0" xfId="0" applyFont="1" applyAlignment="1">
      <alignment horizontal="left" vertical="center" wrapText="1"/>
    </xf>
    <xf numFmtId="16" fontId="0" fillId="0" borderId="0" xfId="0" applyNumberFormat="1"/>
    <xf numFmtId="0" fontId="24" fillId="0" borderId="0" xfId="0" applyFont="1" applyAlignment="1">
      <alignment vertical="center" wrapText="1"/>
    </xf>
    <xf numFmtId="0" fontId="24" fillId="0" borderId="0" xfId="0" applyFont="1" applyAlignment="1">
      <alignment vertical="center"/>
    </xf>
    <xf numFmtId="0" fontId="0" fillId="0" borderId="10" xfId="0" applyBorder="1" applyAlignment="1">
      <alignment horizontal="left" wrapText="1"/>
    </xf>
    <xf numFmtId="0" fontId="40" fillId="0" borderId="0" xfId="0" applyFont="1"/>
    <xf numFmtId="0" fontId="32" fillId="5" borderId="7" xfId="0" applyFont="1" applyFill="1" applyBorder="1" applyAlignment="1">
      <alignment horizontal="left" vertical="center" wrapText="1"/>
    </xf>
    <xf numFmtId="0" fontId="32" fillId="5" borderId="6" xfId="0" applyFont="1" applyFill="1" applyBorder="1" applyAlignment="1">
      <alignment horizontal="center" vertical="center" wrapText="1"/>
    </xf>
    <xf numFmtId="0" fontId="32" fillId="5" borderId="13" xfId="0" applyFont="1" applyFill="1" applyBorder="1" applyAlignment="1">
      <alignment horizontal="center" vertical="center" wrapText="1"/>
    </xf>
    <xf numFmtId="0" fontId="32" fillId="5" borderId="8" xfId="0" applyFont="1" applyFill="1" applyBorder="1" applyAlignment="1">
      <alignment horizontal="center" vertical="center" wrapText="1"/>
    </xf>
    <xf numFmtId="0" fontId="18" fillId="0" borderId="0" xfId="0" applyFont="1" applyAlignment="1">
      <alignment wrapText="1"/>
    </xf>
    <xf numFmtId="0" fontId="40" fillId="0" borderId="0" xfId="0" applyFont="1" applyAlignment="1">
      <alignment wrapText="1"/>
    </xf>
    <xf numFmtId="0" fontId="32" fillId="0" borderId="1" xfId="0" applyFont="1" applyBorder="1" applyAlignment="1">
      <alignment vertical="center" wrapText="1"/>
    </xf>
    <xf numFmtId="0" fontId="41" fillId="0" borderId="0" xfId="0" applyFont="1"/>
    <xf numFmtId="0" fontId="32" fillId="5" borderId="1" xfId="0" applyFont="1" applyFill="1" applyBorder="1" applyAlignment="1">
      <alignment horizontal="center" vertical="center" wrapText="1"/>
    </xf>
    <xf numFmtId="0" fontId="28" fillId="8" borderId="1" xfId="0" applyFont="1" applyFill="1" applyBorder="1" applyAlignment="1">
      <alignment vertical="center"/>
    </xf>
    <xf numFmtId="0" fontId="32" fillId="5" borderId="7" xfId="0" applyFont="1" applyFill="1" applyBorder="1" applyAlignment="1">
      <alignment horizontal="center" vertical="center" wrapText="1"/>
    </xf>
    <xf numFmtId="0" fontId="30" fillId="0" borderId="0" xfId="0" applyFont="1"/>
    <xf numFmtId="0" fontId="27" fillId="0" borderId="0" xfId="0" applyFont="1" applyAlignment="1">
      <alignment vertical="center"/>
    </xf>
    <xf numFmtId="0" fontId="113" fillId="0" borderId="0" xfId="0" applyFont="1"/>
    <xf numFmtId="0" fontId="24" fillId="0" borderId="0" xfId="0" applyFont="1" applyAlignment="1">
      <alignment wrapText="1"/>
    </xf>
    <xf numFmtId="0" fontId="31" fillId="17" borderId="1" xfId="0" applyFont="1" applyFill="1" applyBorder="1" applyAlignment="1">
      <alignment horizontal="center" vertical="center"/>
    </xf>
    <xf numFmtId="0" fontId="31" fillId="17" borderId="1" xfId="0" applyFont="1" applyFill="1" applyBorder="1" applyAlignment="1">
      <alignment horizontal="center" vertical="center" wrapText="1"/>
    </xf>
    <xf numFmtId="0" fontId="31" fillId="17" borderId="2" xfId="0" applyFont="1" applyFill="1" applyBorder="1" applyAlignment="1">
      <alignment horizontal="center" vertical="center"/>
    </xf>
    <xf numFmtId="0" fontId="31" fillId="17" borderId="41" xfId="0" applyFont="1" applyFill="1" applyBorder="1" applyAlignment="1">
      <alignment horizontal="center" vertical="center"/>
    </xf>
    <xf numFmtId="0" fontId="31" fillId="17" borderId="68" xfId="0" applyFont="1" applyFill="1" applyBorder="1" applyAlignment="1">
      <alignment horizontal="center" vertical="center" wrapText="1"/>
    </xf>
    <xf numFmtId="0" fontId="3" fillId="0" borderId="1" xfId="0" applyFont="1" applyBorder="1" applyAlignment="1">
      <alignment vertical="center" wrapText="1"/>
    </xf>
    <xf numFmtId="44" fontId="11" fillId="0" borderId="2" xfId="0" applyNumberFormat="1" applyFont="1" applyBorder="1" applyAlignment="1">
      <alignment vertical="center" wrapText="1"/>
    </xf>
    <xf numFmtId="44" fontId="11" fillId="0" borderId="1" xfId="0" applyNumberFormat="1" applyFont="1" applyBorder="1" applyAlignment="1">
      <alignment vertical="center" wrapText="1"/>
    </xf>
    <xf numFmtId="44" fontId="58" fillId="0" borderId="68" xfId="0" applyNumberFormat="1" applyFont="1" applyBorder="1" applyAlignment="1">
      <alignment vertical="center" wrapText="1"/>
    </xf>
    <xf numFmtId="44" fontId="58" fillId="0" borderId="68" xfId="0" applyNumberFormat="1" applyFont="1" applyBorder="1" applyAlignment="1">
      <alignment horizontal="center" vertical="center" wrapText="1"/>
    </xf>
    <xf numFmtId="0" fontId="59" fillId="18" borderId="1" xfId="0" applyFont="1" applyFill="1" applyBorder="1" applyAlignment="1">
      <alignment vertical="center" wrapText="1"/>
    </xf>
    <xf numFmtId="44" fontId="59" fillId="18" borderId="1" xfId="0" applyNumberFormat="1" applyFont="1" applyFill="1" applyBorder="1" applyAlignment="1">
      <alignment vertical="center" wrapText="1"/>
    </xf>
    <xf numFmtId="44" fontId="79" fillId="18" borderId="1" xfId="0" applyNumberFormat="1" applyFont="1" applyFill="1" applyBorder="1" applyAlignment="1">
      <alignment vertical="center" wrapText="1"/>
    </xf>
    <xf numFmtId="44" fontId="59" fillId="18" borderId="2" xfId="0" applyNumberFormat="1" applyFont="1" applyFill="1" applyBorder="1" applyAlignment="1">
      <alignment vertical="center" wrapText="1"/>
    </xf>
    <xf numFmtId="44" fontId="59" fillId="18" borderId="63" xfId="0" applyNumberFormat="1" applyFont="1" applyFill="1" applyBorder="1" applyAlignment="1">
      <alignment vertical="center" wrapText="1"/>
    </xf>
    <xf numFmtId="44" fontId="59" fillId="18" borderId="35" xfId="0" applyNumberFormat="1" applyFont="1" applyFill="1" applyBorder="1" applyAlignment="1">
      <alignment vertical="center" wrapText="1"/>
    </xf>
    <xf numFmtId="44" fontId="79" fillId="18" borderId="64" xfId="0" applyNumberFormat="1" applyFont="1" applyFill="1" applyBorder="1" applyAlignment="1">
      <alignment vertical="center" wrapText="1"/>
    </xf>
    <xf numFmtId="0" fontId="75" fillId="0" borderId="0" xfId="0" applyFont="1" applyAlignment="1">
      <alignment horizontal="left"/>
    </xf>
    <xf numFmtId="0" fontId="43" fillId="19" borderId="56" xfId="0" applyFont="1" applyFill="1" applyBorder="1"/>
    <xf numFmtId="0" fontId="60" fillId="19" borderId="1" xfId="0" applyFont="1" applyFill="1" applyBorder="1" applyAlignment="1">
      <alignment horizontal="center"/>
    </xf>
    <xf numFmtId="0" fontId="24" fillId="0" borderId="37" xfId="0" applyFont="1" applyBorder="1"/>
    <xf numFmtId="9" fontId="10" fillId="0" borderId="0" xfId="1" applyFont="1" applyBorder="1" applyProtection="1"/>
    <xf numFmtId="9" fontId="10" fillId="0" borderId="0" xfId="1" applyFont="1" applyFill="1" applyBorder="1" applyProtection="1"/>
    <xf numFmtId="0" fontId="24" fillId="15" borderId="57" xfId="0" applyFont="1" applyFill="1" applyBorder="1"/>
    <xf numFmtId="174" fontId="32" fillId="0" borderId="1" xfId="0" applyNumberFormat="1" applyFont="1" applyBorder="1"/>
    <xf numFmtId="9" fontId="32" fillId="11" borderId="1" xfId="1" applyFont="1" applyFill="1" applyBorder="1" applyProtection="1"/>
    <xf numFmtId="10" fontId="29" fillId="11" borderId="1" xfId="1" applyNumberFormat="1" applyFont="1" applyFill="1" applyBorder="1" applyProtection="1"/>
    <xf numFmtId="9" fontId="24" fillId="15" borderId="1" xfId="1" applyFont="1" applyFill="1" applyBorder="1" applyProtection="1"/>
    <xf numFmtId="0" fontId="43" fillId="19" borderId="41" xfId="0" applyFont="1" applyFill="1" applyBorder="1"/>
    <xf numFmtId="44" fontId="24" fillId="0" borderId="3" xfId="7" applyFont="1" applyFill="1" applyBorder="1" applyProtection="1"/>
    <xf numFmtId="0" fontId="10" fillId="11" borderId="37" xfId="0" applyFont="1" applyFill="1" applyBorder="1" applyAlignment="1">
      <alignment horizontal="left" indent="1"/>
    </xf>
    <xf numFmtId="0" fontId="29" fillId="0" borderId="21" xfId="0" applyFont="1" applyBorder="1" applyAlignment="1">
      <alignment horizontal="left" vertical="center" wrapText="1"/>
    </xf>
    <xf numFmtId="169" fontId="29" fillId="0" borderId="1" xfId="0" applyNumberFormat="1" applyFont="1" applyBorder="1"/>
    <xf numFmtId="174" fontId="32" fillId="0" borderId="0" xfId="0" applyNumberFormat="1" applyFont="1"/>
    <xf numFmtId="0" fontId="60" fillId="19" borderId="28" xfId="0" applyFont="1" applyFill="1" applyBorder="1" applyAlignment="1">
      <alignment horizontal="center"/>
    </xf>
    <xf numFmtId="0" fontId="10" fillId="0" borderId="41" xfId="0" applyFont="1" applyBorder="1"/>
    <xf numFmtId="174" fontId="24" fillId="0" borderId="1" xfId="0" applyNumberFormat="1" applyFont="1" applyBorder="1"/>
    <xf numFmtId="174" fontId="43" fillId="0" borderId="0" xfId="0" applyNumberFormat="1" applyFont="1"/>
    <xf numFmtId="0" fontId="10" fillId="0" borderId="63" xfId="0" applyFont="1" applyBorder="1"/>
    <xf numFmtId="169" fontId="24" fillId="0" borderId="35" xfId="0" applyNumberFormat="1" applyFont="1" applyBorder="1"/>
    <xf numFmtId="9" fontId="10" fillId="0" borderId="23" xfId="0" applyNumberFormat="1" applyFont="1" applyBorder="1"/>
    <xf numFmtId="169" fontId="24" fillId="0" borderId="0" xfId="0" applyNumberFormat="1" applyFont="1"/>
    <xf numFmtId="9" fontId="10" fillId="0" borderId="0" xfId="0" applyNumberFormat="1" applyFont="1"/>
    <xf numFmtId="174" fontId="32" fillId="15" borderId="1" xfId="0" applyNumberFormat="1" applyFont="1" applyFill="1" applyBorder="1"/>
    <xf numFmtId="16" fontId="10" fillId="0" borderId="21" xfId="0" applyNumberFormat="1" applyFont="1" applyBorder="1"/>
    <xf numFmtId="0" fontId="0" fillId="0" borderId="24" xfId="0" applyBorder="1"/>
    <xf numFmtId="0" fontId="10" fillId="0" borderId="1" xfId="0" applyFont="1" applyBorder="1" applyAlignment="1">
      <alignment vertical="center" wrapText="1"/>
    </xf>
    <xf numFmtId="44" fontId="58" fillId="0" borderId="2" xfId="0" applyNumberFormat="1" applyFont="1" applyBorder="1" applyAlignment="1">
      <alignment vertical="center" wrapText="1"/>
    </xf>
    <xf numFmtId="44" fontId="58" fillId="0" borderId="1" xfId="0" applyNumberFormat="1" applyFont="1" applyBorder="1" applyAlignment="1">
      <alignment vertical="center" wrapText="1"/>
    </xf>
    <xf numFmtId="0" fontId="0" fillId="0" borderId="0" xfId="0" applyAlignment="1">
      <alignment horizontal="left" vertical="center" indent="1"/>
    </xf>
    <xf numFmtId="0" fontId="31" fillId="17" borderId="1" xfId="0" applyFont="1" applyFill="1" applyBorder="1" applyAlignment="1">
      <alignment vertical="center"/>
    </xf>
    <xf numFmtId="0" fontId="73" fillId="11" borderId="0" xfId="0" applyFont="1" applyFill="1" applyAlignment="1">
      <alignment vertical="center"/>
    </xf>
    <xf numFmtId="0" fontId="3" fillId="0" borderId="6" xfId="0" applyFont="1" applyBorder="1" applyAlignment="1">
      <alignment vertical="center" wrapText="1"/>
    </xf>
    <xf numFmtId="44" fontId="3" fillId="0" borderId="6" xfId="0" applyNumberFormat="1" applyFont="1" applyBorder="1" applyAlignment="1">
      <alignment vertical="center" wrapText="1"/>
    </xf>
    <xf numFmtId="44" fontId="11" fillId="0" borderId="6" xfId="0" applyNumberFormat="1" applyFont="1" applyBorder="1" applyAlignment="1">
      <alignment vertical="center" wrapText="1"/>
    </xf>
    <xf numFmtId="0" fontId="3" fillId="0" borderId="0" xfId="0" applyFont="1" applyAlignment="1">
      <alignment vertical="center" wrapText="1"/>
    </xf>
    <xf numFmtId="44" fontId="3" fillId="0" borderId="0" xfId="0" applyNumberFormat="1" applyFont="1" applyAlignment="1">
      <alignment vertical="center" wrapText="1"/>
    </xf>
    <xf numFmtId="44" fontId="11" fillId="0" borderId="0" xfId="0" applyNumberFormat="1" applyFont="1" applyAlignment="1">
      <alignment vertical="center" wrapText="1"/>
    </xf>
    <xf numFmtId="0" fontId="114" fillId="0" borderId="0" xfId="0" applyFont="1"/>
    <xf numFmtId="44" fontId="3" fillId="0" borderId="1" xfId="0" applyNumberFormat="1" applyFont="1" applyBorder="1" applyAlignment="1">
      <alignment vertical="center" wrapText="1"/>
    </xf>
    <xf numFmtId="0" fontId="10" fillId="12" borderId="0" xfId="0" applyFont="1" applyFill="1"/>
    <xf numFmtId="44" fontId="3" fillId="2" borderId="1" xfId="0" applyNumberFormat="1" applyFont="1" applyFill="1" applyBorder="1" applyAlignment="1" applyProtection="1">
      <alignment vertical="center" wrapText="1"/>
      <protection locked="0"/>
    </xf>
    <xf numFmtId="44" fontId="17" fillId="2" borderId="1" xfId="0" applyNumberFormat="1" applyFont="1" applyFill="1" applyBorder="1" applyAlignment="1" applyProtection="1">
      <alignment vertical="center" wrapText="1"/>
      <protection locked="0"/>
    </xf>
    <xf numFmtId="0" fontId="10" fillId="2" borderId="1" xfId="0" applyFont="1" applyFill="1" applyBorder="1" applyAlignment="1" applyProtection="1">
      <alignment horizontal="center"/>
      <protection locked="0"/>
    </xf>
    <xf numFmtId="44" fontId="3" fillId="2" borderId="6" xfId="0" applyNumberFormat="1" applyFont="1" applyFill="1" applyBorder="1" applyAlignment="1" applyProtection="1">
      <alignment vertical="center" wrapText="1"/>
      <protection locked="0"/>
    </xf>
    <xf numFmtId="0" fontId="28" fillId="2" borderId="15" xfId="0" applyFont="1" applyFill="1" applyBorder="1" applyProtection="1">
      <protection locked="0"/>
    </xf>
    <xf numFmtId="164" fontId="35" fillId="11" borderId="0" xfId="0" applyNumberFormat="1" applyFont="1" applyFill="1"/>
    <xf numFmtId="0" fontId="28" fillId="11" borderId="0" xfId="0" applyFont="1" applyFill="1" applyAlignment="1">
      <alignment horizontal="right"/>
    </xf>
    <xf numFmtId="0" fontId="24" fillId="5" borderId="0" xfId="0" applyFont="1" applyFill="1" applyAlignment="1">
      <alignment vertical="center" wrapText="1"/>
    </xf>
    <xf numFmtId="169" fontId="24" fillId="11" borderId="0" xfId="0" applyNumberFormat="1" applyFont="1" applyFill="1"/>
    <xf numFmtId="164" fontId="24" fillId="0" borderId="0" xfId="0" applyNumberFormat="1" applyFont="1"/>
    <xf numFmtId="0" fontId="32" fillId="11" borderId="0" xfId="0" applyFont="1" applyFill="1" applyAlignment="1">
      <alignment horizontal="right"/>
    </xf>
    <xf numFmtId="171" fontId="49" fillId="11" borderId="26" xfId="1" applyNumberFormat="1" applyFont="1" applyFill="1" applyBorder="1" applyAlignment="1" applyProtection="1">
      <alignment horizontal="center"/>
    </xf>
    <xf numFmtId="0" fontId="51" fillId="11" borderId="26" xfId="12" applyFont="1" applyFill="1" applyBorder="1" applyAlignment="1" applyProtection="1">
      <alignment horizontal="center"/>
    </xf>
    <xf numFmtId="0" fontId="51" fillId="11" borderId="27" xfId="12" applyFont="1" applyFill="1" applyBorder="1" applyAlignment="1" applyProtection="1">
      <alignment horizontal="center" wrapText="1"/>
    </xf>
    <xf numFmtId="171" fontId="0" fillId="0" borderId="0" xfId="1" applyNumberFormat="1" applyFont="1" applyFill="1" applyBorder="1" applyAlignment="1" applyProtection="1">
      <alignment horizontal="center"/>
    </xf>
    <xf numFmtId="171" fontId="0" fillId="11" borderId="0" xfId="1" applyNumberFormat="1" applyFont="1" applyFill="1" applyBorder="1" applyAlignment="1" applyProtection="1">
      <alignment horizontal="center"/>
    </xf>
    <xf numFmtId="171" fontId="49" fillId="11" borderId="23" xfId="1" applyNumberFormat="1" applyFont="1" applyFill="1" applyBorder="1" applyAlignment="1" applyProtection="1">
      <alignment horizontal="center"/>
    </xf>
    <xf numFmtId="1" fontId="19" fillId="11" borderId="0" xfId="12" applyNumberFormat="1" applyFill="1" applyAlignment="1" applyProtection="1"/>
    <xf numFmtId="44" fontId="1" fillId="0" borderId="0" xfId="7" applyFont="1" applyFill="1" applyBorder="1" applyAlignment="1" applyProtection="1">
      <alignment vertical="center"/>
    </xf>
    <xf numFmtId="171" fontId="77" fillId="0" borderId="0" xfId="1" applyNumberFormat="1" applyFont="1" applyFill="1" applyBorder="1" applyAlignment="1" applyProtection="1">
      <alignment horizontal="center" vertical="center"/>
    </xf>
    <xf numFmtId="0" fontId="28" fillId="2" borderId="1" xfId="7" applyNumberFormat="1" applyFont="1" applyFill="1" applyBorder="1" applyAlignment="1" applyProtection="1">
      <alignment vertical="center"/>
      <protection locked="0"/>
    </xf>
    <xf numFmtId="49" fontId="4" fillId="2" borderId="2" xfId="13" applyNumberFormat="1" applyFont="1" applyFill="1" applyBorder="1" applyAlignment="1" applyProtection="1">
      <alignment horizontal="center"/>
      <protection locked="0"/>
    </xf>
    <xf numFmtId="49" fontId="28" fillId="2" borderId="36" xfId="0" applyNumberFormat="1" applyFont="1" applyFill="1" applyBorder="1" applyProtection="1">
      <protection locked="0"/>
    </xf>
    <xf numFmtId="49" fontId="28" fillId="2" borderId="55" xfId="0" applyNumberFormat="1" applyFont="1" applyFill="1" applyBorder="1" applyProtection="1">
      <protection locked="0"/>
    </xf>
    <xf numFmtId="49" fontId="28" fillId="2" borderId="70" xfId="0" applyNumberFormat="1" applyFont="1" applyFill="1" applyBorder="1" applyProtection="1">
      <protection locked="0"/>
    </xf>
    <xf numFmtId="49" fontId="28" fillId="2" borderId="62" xfId="0" applyNumberFormat="1" applyFont="1" applyFill="1" applyBorder="1" applyProtection="1">
      <protection locked="0"/>
    </xf>
    <xf numFmtId="49" fontId="32" fillId="2" borderId="1" xfId="7" applyNumberFormat="1" applyFont="1" applyFill="1" applyBorder="1" applyAlignment="1" applyProtection="1">
      <alignment vertical="top" wrapText="1"/>
      <protection locked="0"/>
    </xf>
    <xf numFmtId="175" fontId="28" fillId="2" borderId="1" xfId="7" applyNumberFormat="1" applyFont="1" applyFill="1" applyBorder="1" applyAlignment="1" applyProtection="1">
      <alignment horizontal="center" vertical="center"/>
      <protection locked="0"/>
    </xf>
    <xf numFmtId="0" fontId="48" fillId="3" borderId="27" xfId="0" applyFont="1" applyFill="1" applyBorder="1" applyAlignment="1">
      <alignment horizontal="right"/>
    </xf>
    <xf numFmtId="0" fontId="48" fillId="3" borderId="21" xfId="0" applyFont="1" applyFill="1" applyBorder="1" applyAlignment="1">
      <alignment horizontal="right"/>
    </xf>
    <xf numFmtId="0" fontId="47" fillId="0" borderId="0" xfId="12" applyFont="1" applyFill="1" applyBorder="1" applyAlignment="1" applyProtection="1"/>
    <xf numFmtId="0" fontId="38" fillId="0" borderId="0" xfId="12" applyFont="1" applyFill="1" applyBorder="1" applyAlignment="1" applyProtection="1"/>
    <xf numFmtId="0" fontId="24" fillId="0" borderId="0" xfId="0" applyFont="1" applyAlignment="1">
      <alignment horizontal="left" vertical="center"/>
    </xf>
    <xf numFmtId="0" fontId="10" fillId="0" borderId="25" xfId="0" applyFont="1" applyBorder="1"/>
    <xf numFmtId="0" fontId="10" fillId="11" borderId="26" xfId="0" applyFont="1" applyFill="1" applyBorder="1"/>
    <xf numFmtId="0" fontId="10" fillId="0" borderId="22" xfId="0" applyFont="1" applyBorder="1"/>
    <xf numFmtId="0" fontId="28" fillId="0" borderId="23" xfId="0" applyFont="1" applyBorder="1" applyAlignment="1">
      <alignment horizontal="right"/>
    </xf>
    <xf numFmtId="0" fontId="38" fillId="5" borderId="43" xfId="0" applyFont="1" applyFill="1" applyBorder="1" applyAlignment="1">
      <alignment vertical="center" wrapText="1"/>
    </xf>
    <xf numFmtId="0" fontId="24" fillId="5" borderId="26" xfId="0" applyFont="1" applyFill="1" applyBorder="1" applyAlignment="1">
      <alignment horizontal="center" vertical="center" wrapText="1"/>
    </xf>
    <xf numFmtId="0" fontId="24" fillId="5" borderId="33" xfId="0" applyFont="1" applyFill="1" applyBorder="1" applyAlignment="1">
      <alignment horizontal="center" vertical="center" wrapText="1"/>
    </xf>
    <xf numFmtId="0" fontId="24" fillId="5" borderId="34" xfId="0" applyFont="1" applyFill="1" applyBorder="1" applyAlignment="1">
      <alignment horizontal="center" vertical="center" wrapText="1"/>
    </xf>
    <xf numFmtId="0" fontId="28" fillId="0" borderId="25" xfId="0" applyFont="1" applyBorder="1" applyAlignment="1">
      <alignment horizontal="left"/>
    </xf>
    <xf numFmtId="0" fontId="28" fillId="15" borderId="65" xfId="0" applyFont="1" applyFill="1" applyBorder="1" applyAlignment="1">
      <alignment horizontal="right"/>
    </xf>
    <xf numFmtId="164" fontId="28" fillId="0" borderId="69" xfId="0" applyNumberFormat="1" applyFont="1" applyBorder="1"/>
    <xf numFmtId="164" fontId="28" fillId="0" borderId="54" xfId="0" applyNumberFormat="1" applyFont="1" applyBorder="1"/>
    <xf numFmtId="164" fontId="28" fillId="13" borderId="58" xfId="0" applyNumberFormat="1" applyFont="1" applyFill="1" applyBorder="1"/>
    <xf numFmtId="0" fontId="28" fillId="15" borderId="41" xfId="0" applyFont="1" applyFill="1" applyBorder="1" applyAlignment="1">
      <alignment horizontal="right"/>
    </xf>
    <xf numFmtId="164" fontId="28" fillId="0" borderId="53" xfId="0" applyNumberFormat="1" applyFont="1" applyBorder="1"/>
    <xf numFmtId="164" fontId="28" fillId="0" borderId="36" xfId="0" applyNumberFormat="1" applyFont="1" applyBorder="1"/>
    <xf numFmtId="164" fontId="28" fillId="13" borderId="53" xfId="0" applyNumberFormat="1" applyFont="1" applyFill="1" applyBorder="1"/>
    <xf numFmtId="164" fontId="28" fillId="11" borderId="53" xfId="0" applyNumberFormat="1" applyFont="1" applyFill="1" applyBorder="1"/>
    <xf numFmtId="164" fontId="28" fillId="13" borderId="36" xfId="0" applyNumberFormat="1" applyFont="1" applyFill="1" applyBorder="1"/>
    <xf numFmtId="0" fontId="28" fillId="11" borderId="0" xfId="0" applyFont="1" applyFill="1"/>
    <xf numFmtId="164" fontId="28" fillId="11" borderId="36" xfId="0" applyNumberFormat="1" applyFont="1" applyFill="1" applyBorder="1"/>
    <xf numFmtId="0" fontId="33" fillId="11" borderId="22" xfId="0" applyFont="1" applyFill="1" applyBorder="1" applyAlignment="1">
      <alignment horizontal="left"/>
    </xf>
    <xf numFmtId="0" fontId="32" fillId="15" borderId="63" xfId="0" applyFont="1" applyFill="1" applyBorder="1" applyAlignment="1">
      <alignment horizontal="right"/>
    </xf>
    <xf numFmtId="164" fontId="32" fillId="11" borderId="60" xfId="0" applyNumberFormat="1" applyFont="1" applyFill="1" applyBorder="1"/>
    <xf numFmtId="164" fontId="32" fillId="11" borderId="55" xfId="0" applyNumberFormat="1" applyFont="1" applyFill="1" applyBorder="1"/>
    <xf numFmtId="0" fontId="32" fillId="0" borderId="0" xfId="0" applyFont="1" applyAlignment="1">
      <alignment horizontal="right"/>
    </xf>
    <xf numFmtId="0" fontId="38" fillId="5" borderId="25" xfId="0" applyFont="1" applyFill="1" applyBorder="1" applyAlignment="1">
      <alignment vertical="center" wrapText="1"/>
    </xf>
    <xf numFmtId="0" fontId="24" fillId="5" borderId="27" xfId="0" applyFont="1" applyFill="1" applyBorder="1" applyAlignment="1">
      <alignment horizontal="center" vertical="center" wrapText="1"/>
    </xf>
    <xf numFmtId="0" fontId="17" fillId="5" borderId="22" xfId="0" applyFont="1" applyFill="1" applyBorder="1" applyAlignment="1">
      <alignment vertical="center" wrapText="1"/>
    </xf>
    <xf numFmtId="0" fontId="24" fillId="5" borderId="23" xfId="0" applyFont="1" applyFill="1" applyBorder="1" applyAlignment="1">
      <alignment vertical="center" wrapText="1"/>
    </xf>
    <xf numFmtId="0" fontId="24" fillId="5" borderId="23" xfId="0" applyFont="1" applyFill="1" applyBorder="1" applyAlignment="1">
      <alignment horizontal="center" vertical="center" wrapText="1"/>
    </xf>
    <xf numFmtId="0" fontId="24" fillId="5" borderId="24" xfId="0" applyFont="1" applyFill="1" applyBorder="1" applyAlignment="1">
      <alignment horizontal="center" vertical="center" wrapText="1"/>
    </xf>
    <xf numFmtId="0" fontId="24" fillId="11" borderId="23" xfId="0" applyFont="1" applyFill="1" applyBorder="1" applyAlignment="1">
      <alignment horizontal="center"/>
    </xf>
    <xf numFmtId="0" fontId="38" fillId="11" borderId="23" xfId="0" applyFont="1" applyFill="1" applyBorder="1" applyAlignment="1">
      <alignment horizontal="center"/>
    </xf>
    <xf numFmtId="0" fontId="32" fillId="0" borderId="38" xfId="0" applyFont="1" applyBorder="1" applyAlignment="1">
      <alignment horizontal="left"/>
    </xf>
    <xf numFmtId="0" fontId="32" fillId="15" borderId="38" xfId="0" applyFont="1" applyFill="1" applyBorder="1" applyAlignment="1">
      <alignment horizontal="right"/>
    </xf>
    <xf numFmtId="164" fontId="32" fillId="11" borderId="38" xfId="0" applyNumberFormat="1" applyFont="1" applyFill="1" applyBorder="1"/>
    <xf numFmtId="164" fontId="28" fillId="11" borderId="68" xfId="0" applyNumberFormat="1" applyFont="1" applyFill="1" applyBorder="1"/>
    <xf numFmtId="49" fontId="28" fillId="2" borderId="36" xfId="0" applyNumberFormat="1" applyFont="1" applyFill="1" applyBorder="1"/>
    <xf numFmtId="164" fontId="28" fillId="11" borderId="64" xfId="0" applyNumberFormat="1" applyFont="1" applyFill="1" applyBorder="1"/>
    <xf numFmtId="0" fontId="10" fillId="0" borderId="17" xfId="0" applyFont="1" applyBorder="1" applyAlignment="1">
      <alignment horizontal="left" wrapText="1" indent="1"/>
    </xf>
    <xf numFmtId="0" fontId="10" fillId="0" borderId="17" xfId="0" applyFont="1" applyBorder="1" applyAlignment="1">
      <alignment horizontal="left" indent="1"/>
    </xf>
    <xf numFmtId="164" fontId="28" fillId="11" borderId="73" xfId="0" applyNumberFormat="1" applyFont="1" applyFill="1" applyBorder="1"/>
    <xf numFmtId="49" fontId="10" fillId="0" borderId="0" xfId="0" applyNumberFormat="1" applyFont="1"/>
    <xf numFmtId="0" fontId="32" fillId="11" borderId="25" xfId="0" applyFont="1" applyFill="1" applyBorder="1" applyAlignment="1">
      <alignment horizontal="left"/>
    </xf>
    <xf numFmtId="49" fontId="10" fillId="11" borderId="38" xfId="0" applyNumberFormat="1" applyFont="1" applyFill="1" applyBorder="1"/>
    <xf numFmtId="0" fontId="29" fillId="11" borderId="0" xfId="0" applyFont="1" applyFill="1"/>
    <xf numFmtId="49" fontId="10" fillId="11" borderId="0" xfId="0" applyNumberFormat="1" applyFont="1" applyFill="1"/>
    <xf numFmtId="49" fontId="10" fillId="11" borderId="16" xfId="0" applyNumberFormat="1" applyFont="1" applyFill="1" applyBorder="1"/>
    <xf numFmtId="0" fontId="28" fillId="0" borderId="15" xfId="0" applyFont="1" applyBorder="1" applyAlignment="1">
      <alignment horizontal="left" indent="1"/>
    </xf>
    <xf numFmtId="164" fontId="28" fillId="11" borderId="0" xfId="0" applyNumberFormat="1" applyFont="1" applyFill="1"/>
    <xf numFmtId="0" fontId="28" fillId="0" borderId="22" xfId="0" applyFont="1" applyBorder="1" applyAlignment="1">
      <alignment horizontal="left"/>
    </xf>
    <xf numFmtId="0" fontId="32" fillId="15" borderId="55" xfId="0" applyFont="1" applyFill="1" applyBorder="1" applyAlignment="1">
      <alignment horizontal="right"/>
    </xf>
    <xf numFmtId="0" fontId="24" fillId="11" borderId="25" xfId="0" applyFont="1" applyFill="1" applyBorder="1"/>
    <xf numFmtId="164" fontId="28" fillId="11" borderId="55" xfId="0" applyNumberFormat="1" applyFont="1" applyFill="1" applyBorder="1"/>
    <xf numFmtId="164" fontId="28" fillId="13" borderId="55" xfId="0" applyNumberFormat="1" applyFont="1" applyFill="1" applyBorder="1"/>
    <xf numFmtId="0" fontId="33" fillId="11" borderId="38" xfId="0" applyFont="1" applyFill="1" applyBorder="1" applyAlignment="1">
      <alignment horizontal="left"/>
    </xf>
    <xf numFmtId="0" fontId="32" fillId="15" borderId="52" xfId="0" applyFont="1" applyFill="1" applyBorder="1" applyAlignment="1">
      <alignment horizontal="right"/>
    </xf>
    <xf numFmtId="164" fontId="32" fillId="11" borderId="71" xfId="0" applyNumberFormat="1" applyFont="1" applyFill="1" applyBorder="1"/>
    <xf numFmtId="164" fontId="32" fillId="11" borderId="49" xfId="0" applyNumberFormat="1" applyFont="1" applyFill="1" applyBorder="1"/>
    <xf numFmtId="0" fontId="33" fillId="15" borderId="52" xfId="0" applyFont="1" applyFill="1" applyBorder="1" applyAlignment="1">
      <alignment horizontal="right"/>
    </xf>
    <xf numFmtId="164" fontId="33" fillId="11" borderId="71" xfId="0" applyNumberFormat="1" applyFont="1" applyFill="1" applyBorder="1"/>
    <xf numFmtId="164" fontId="33" fillId="11" borderId="49" xfId="0" applyNumberFormat="1" applyFont="1" applyFill="1" applyBorder="1"/>
    <xf numFmtId="0" fontId="33" fillId="11" borderId="0" xfId="0" applyFont="1" applyFill="1" applyAlignment="1">
      <alignment horizontal="left"/>
    </xf>
    <xf numFmtId="164" fontId="33" fillId="11" borderId="0" xfId="0" applyNumberFormat="1" applyFont="1" applyFill="1"/>
    <xf numFmtId="164" fontId="10" fillId="11" borderId="0" xfId="0" applyNumberFormat="1" applyFont="1" applyFill="1"/>
    <xf numFmtId="0" fontId="61" fillId="0" borderId="0" xfId="0" applyFont="1" applyAlignment="1">
      <alignment horizontal="left" vertical="center" wrapText="1"/>
    </xf>
    <xf numFmtId="0" fontId="65" fillId="0" borderId="0" xfId="0" applyFont="1" applyAlignment="1">
      <alignment horizontal="left" vertical="center" wrapText="1"/>
    </xf>
    <xf numFmtId="0" fontId="62" fillId="0" borderId="0" xfId="0" applyFont="1" applyAlignment="1">
      <alignment horizontal="left" vertical="center" wrapText="1"/>
    </xf>
    <xf numFmtId="0" fontId="63" fillId="0" borderId="0" xfId="0" applyFont="1" applyAlignment="1">
      <alignment vertical="center"/>
    </xf>
    <xf numFmtId="0" fontId="66" fillId="0" borderId="0" xfId="0" applyFont="1" applyAlignment="1">
      <alignment vertical="center"/>
    </xf>
    <xf numFmtId="0" fontId="9" fillId="0" borderId="0" xfId="5" applyFill="1" applyBorder="1" applyAlignment="1" applyProtection="1">
      <alignment vertical="center"/>
    </xf>
    <xf numFmtId="0" fontId="64" fillId="0" borderId="0" xfId="0" applyFont="1" applyAlignment="1">
      <alignment vertical="center"/>
    </xf>
    <xf numFmtId="3" fontId="30" fillId="0" borderId="0" xfId="0" applyNumberFormat="1" applyFont="1"/>
    <xf numFmtId="0" fontId="10" fillId="2" borderId="18" xfId="0" applyFont="1" applyFill="1" applyBorder="1" applyAlignment="1" applyProtection="1">
      <alignment horizontal="left" indent="1"/>
      <protection locked="0"/>
    </xf>
    <xf numFmtId="0" fontId="28" fillId="2" borderId="18" xfId="0" applyFont="1" applyFill="1" applyBorder="1" applyAlignment="1" applyProtection="1">
      <alignment horizontal="left" indent="1"/>
      <protection locked="0"/>
    </xf>
    <xf numFmtId="0" fontId="28" fillId="2" borderId="15" xfId="0" applyFont="1" applyFill="1" applyBorder="1" applyAlignment="1" applyProtection="1">
      <alignment horizontal="left"/>
      <protection locked="0"/>
    </xf>
    <xf numFmtId="0" fontId="30" fillId="11" borderId="0" xfId="0" applyFont="1" applyFill="1"/>
    <xf numFmtId="169" fontId="0" fillId="0" borderId="0" xfId="0" applyNumberFormat="1"/>
    <xf numFmtId="0" fontId="88" fillId="22" borderId="0" xfId="0" applyFont="1" applyFill="1" applyAlignment="1">
      <alignment horizontal="center" vertical="center"/>
    </xf>
    <xf numFmtId="9" fontId="97" fillId="0" borderId="0" xfId="1" applyFont="1" applyFill="1" applyAlignment="1" applyProtection="1">
      <alignment horizontal="left" vertical="top"/>
    </xf>
    <xf numFmtId="0" fontId="124" fillId="30" borderId="85" xfId="0" applyFont="1" applyFill="1" applyBorder="1" applyAlignment="1">
      <alignment horizontal="center" vertical="center" wrapText="1"/>
    </xf>
    <xf numFmtId="0" fontId="124" fillId="30" borderId="38" xfId="0" applyFont="1" applyFill="1" applyBorder="1" applyAlignment="1">
      <alignment horizontal="center" vertical="center" wrapText="1"/>
    </xf>
    <xf numFmtId="0" fontId="126" fillId="0" borderId="85" xfId="0" applyFont="1" applyBorder="1" applyAlignment="1">
      <alignment vertical="center" wrapText="1"/>
    </xf>
    <xf numFmtId="0" fontId="127" fillId="0" borderId="38" xfId="0" applyFont="1" applyBorder="1" applyAlignment="1">
      <alignment vertical="center" wrapText="1"/>
    </xf>
    <xf numFmtId="1" fontId="127" fillId="0" borderId="86" xfId="7" applyNumberFormat="1" applyFont="1" applyFill="1" applyBorder="1" applyAlignment="1" applyProtection="1">
      <alignment horizontal="center" vertical="center"/>
      <protection locked="0"/>
    </xf>
    <xf numFmtId="0" fontId="119" fillId="0" borderId="0" xfId="0" applyFont="1"/>
    <xf numFmtId="0" fontId="128" fillId="0" borderId="0" xfId="0" applyFont="1"/>
    <xf numFmtId="0" fontId="24" fillId="11" borderId="2" xfId="0" applyFont="1" applyFill="1" applyBorder="1"/>
    <xf numFmtId="0" fontId="24" fillId="11" borderId="9" xfId="0" applyFont="1" applyFill="1" applyBorder="1"/>
    <xf numFmtId="44" fontId="24" fillId="11" borderId="1" xfId="0" applyNumberFormat="1" applyFont="1" applyFill="1" applyBorder="1"/>
    <xf numFmtId="44" fontId="28" fillId="11" borderId="1" xfId="0" applyNumberFormat="1" applyFont="1" applyFill="1" applyBorder="1"/>
    <xf numFmtId="0" fontId="24" fillId="11" borderId="2" xfId="0" applyFont="1" applyFill="1" applyBorder="1" applyAlignment="1">
      <alignment horizontal="left" indent="1"/>
    </xf>
    <xf numFmtId="44" fontId="29" fillId="11" borderId="1" xfId="0" applyNumberFormat="1" applyFont="1" applyFill="1" applyBorder="1"/>
    <xf numFmtId="0" fontId="10" fillId="11" borderId="3" xfId="0" applyFont="1" applyFill="1" applyBorder="1" applyAlignment="1">
      <alignment horizontal="left" indent="1"/>
    </xf>
    <xf numFmtId="44" fontId="78" fillId="11" borderId="1" xfId="0" applyNumberFormat="1" applyFont="1" applyFill="1" applyBorder="1"/>
    <xf numFmtId="44" fontId="27" fillId="11" borderId="1" xfId="0" applyNumberFormat="1" applyFont="1" applyFill="1" applyBorder="1"/>
    <xf numFmtId="164" fontId="28" fillId="11" borderId="72" xfId="0" applyNumberFormat="1" applyFont="1" applyFill="1" applyBorder="1"/>
    <xf numFmtId="164" fontId="28" fillId="2" borderId="62" xfId="0" applyNumberFormat="1" applyFont="1" applyFill="1" applyBorder="1" applyProtection="1">
      <protection locked="0"/>
    </xf>
    <xf numFmtId="164" fontId="28" fillId="2" borderId="21" xfId="0" applyNumberFormat="1" applyFont="1" applyFill="1" applyBorder="1"/>
    <xf numFmtId="164" fontId="32" fillId="2" borderId="62" xfId="0" applyNumberFormat="1" applyFont="1" applyFill="1" applyBorder="1"/>
    <xf numFmtId="164" fontId="28" fillId="0" borderId="88" xfId="0" applyNumberFormat="1" applyFont="1" applyBorder="1"/>
    <xf numFmtId="164" fontId="28" fillId="0" borderId="89" xfId="0" applyNumberFormat="1" applyFont="1" applyBorder="1"/>
    <xf numFmtId="164" fontId="28" fillId="0" borderId="18" xfId="0" applyNumberFormat="1" applyFont="1" applyBorder="1"/>
    <xf numFmtId="164" fontId="28" fillId="11" borderId="62" xfId="0" applyNumberFormat="1" applyFont="1" applyFill="1" applyBorder="1"/>
    <xf numFmtId="164" fontId="28" fillId="13" borderId="62" xfId="0" applyNumberFormat="1" applyFont="1" applyFill="1" applyBorder="1"/>
    <xf numFmtId="164" fontId="28" fillId="0" borderId="1" xfId="0" applyNumberFormat="1" applyFont="1" applyBorder="1" applyProtection="1">
      <protection locked="0"/>
    </xf>
    <xf numFmtId="0" fontId="32" fillId="11" borderId="0" xfId="0" applyFont="1" applyFill="1"/>
    <xf numFmtId="0" fontId="0" fillId="0" borderId="0" xfId="0" applyAlignment="1">
      <alignment horizontal="center" vertical="center"/>
    </xf>
    <xf numFmtId="0" fontId="47" fillId="11" borderId="0" xfId="0" applyFont="1" applyFill="1" applyAlignment="1">
      <alignment horizontal="center" vertical="center"/>
    </xf>
    <xf numFmtId="0" fontId="0" fillId="11" borderId="0" xfId="0" applyFill="1" applyAlignment="1">
      <alignment horizontal="center" vertical="center"/>
    </xf>
    <xf numFmtId="0" fontId="44" fillId="3" borderId="49" xfId="0" applyFont="1" applyFill="1" applyBorder="1" applyAlignment="1">
      <alignment horizontal="center" vertical="center" wrapText="1"/>
    </xf>
    <xf numFmtId="44" fontId="10" fillId="0" borderId="6" xfId="7" applyFont="1" applyBorder="1" applyProtection="1"/>
    <xf numFmtId="44" fontId="10" fillId="0" borderId="1" xfId="7" applyFont="1" applyBorder="1" applyProtection="1"/>
    <xf numFmtId="0" fontId="24" fillId="0" borderId="2" xfId="0" applyFont="1" applyBorder="1" applyAlignment="1">
      <alignment horizontal="right"/>
    </xf>
    <xf numFmtId="0" fontId="24" fillId="0" borderId="3" xfId="0" applyFont="1" applyBorder="1" applyAlignment="1">
      <alignment horizontal="right"/>
    </xf>
    <xf numFmtId="44" fontId="24" fillId="0" borderId="1" xfId="7" applyFont="1" applyBorder="1" applyProtection="1"/>
    <xf numFmtId="0" fontId="24" fillId="0" borderId="2" xfId="0" applyFont="1" applyBorder="1" applyAlignment="1">
      <alignment horizontal="left"/>
    </xf>
    <xf numFmtId="44" fontId="29" fillId="0" borderId="1" xfId="7" applyFont="1" applyBorder="1" applyProtection="1"/>
    <xf numFmtId="44" fontId="29" fillId="0" borderId="3" xfId="7" applyFont="1" applyBorder="1" applyProtection="1"/>
    <xf numFmtId="44" fontId="27" fillId="0" borderId="1" xfId="7" applyFont="1" applyBorder="1" applyProtection="1"/>
    <xf numFmtId="44" fontId="24" fillId="0" borderId="3" xfId="7" applyFont="1" applyBorder="1" applyProtection="1"/>
    <xf numFmtId="164" fontId="39" fillId="0" borderId="3" xfId="0" applyNumberFormat="1" applyFont="1" applyBorder="1" applyAlignment="1">
      <alignment horizontal="right" vertical="center"/>
    </xf>
    <xf numFmtId="0" fontId="24" fillId="11" borderId="0" xfId="0" applyFont="1" applyFill="1" applyAlignment="1">
      <alignment horizontal="left" vertical="center"/>
    </xf>
    <xf numFmtId="164" fontId="24" fillId="11" borderId="0" xfId="0" applyNumberFormat="1" applyFont="1" applyFill="1" applyAlignment="1">
      <alignment horizontal="center" vertical="center"/>
    </xf>
    <xf numFmtId="0" fontId="44" fillId="3" borderId="28" xfId="0" applyFont="1" applyFill="1" applyBorder="1" applyAlignment="1">
      <alignment horizontal="center" vertical="center" wrapText="1"/>
    </xf>
    <xf numFmtId="0" fontId="46" fillId="3" borderId="30" xfId="0" applyFont="1" applyFill="1" applyBorder="1" applyAlignment="1">
      <alignment horizontal="center" vertical="center" wrapText="1"/>
    </xf>
    <xf numFmtId="0" fontId="44" fillId="3" borderId="7" xfId="0" applyFont="1" applyFill="1" applyBorder="1" applyAlignment="1">
      <alignment horizontal="center" vertical="center" wrapText="1"/>
    </xf>
    <xf numFmtId="0" fontId="27" fillId="0" borderId="0" xfId="0" applyFont="1"/>
    <xf numFmtId="0" fontId="10" fillId="11" borderId="2" xfId="0" applyFont="1" applyFill="1" applyBorder="1" applyAlignment="1">
      <alignment horizontal="left" indent="1"/>
    </xf>
    <xf numFmtId="44" fontId="17" fillId="0" borderId="0" xfId="0" applyNumberFormat="1" applyFont="1"/>
    <xf numFmtId="9" fontId="0" fillId="0" borderId="0" xfId="1" applyFont="1" applyProtection="1"/>
    <xf numFmtId="167" fontId="0" fillId="0" borderId="0" xfId="0" applyNumberFormat="1"/>
    <xf numFmtId="0" fontId="10" fillId="11" borderId="10" xfId="0" applyFont="1" applyFill="1" applyBorder="1" applyAlignment="1">
      <alignment horizontal="left" indent="1"/>
    </xf>
    <xf numFmtId="0" fontId="24" fillId="11" borderId="28" xfId="0" applyFont="1" applyFill="1" applyBorder="1"/>
    <xf numFmtId="0" fontId="10" fillId="11" borderId="0" xfId="0" applyFont="1" applyFill="1" applyAlignment="1">
      <alignment horizontal="left" indent="1"/>
    </xf>
    <xf numFmtId="44" fontId="24" fillId="11" borderId="7" xfId="0" applyNumberFormat="1" applyFont="1" applyFill="1" applyBorder="1"/>
    <xf numFmtId="0" fontId="29" fillId="0" borderId="29" xfId="0" applyFont="1" applyBorder="1" applyAlignment="1">
      <alignment horizontal="left" indent="1"/>
    </xf>
    <xf numFmtId="0" fontId="10" fillId="0" borderId="29" xfId="0" applyFont="1" applyBorder="1" applyAlignment="1">
      <alignment horizontal="left" indent="1"/>
    </xf>
    <xf numFmtId="44" fontId="24" fillId="0" borderId="29" xfId="0" applyNumberFormat="1" applyFont="1" applyBorder="1"/>
    <xf numFmtId="44" fontId="43" fillId="0" borderId="0" xfId="0" applyNumberFormat="1" applyFont="1" applyAlignment="1">
      <alignment horizontal="center" vertical="center" wrapText="1"/>
    </xf>
    <xf numFmtId="44" fontId="43" fillId="11" borderId="0" xfId="0" applyNumberFormat="1" applyFont="1" applyFill="1" applyAlignment="1">
      <alignment horizontal="center" vertical="center" wrapText="1"/>
    </xf>
    <xf numFmtId="0" fontId="47" fillId="3" borderId="43" xfId="0" applyFont="1" applyFill="1" applyBorder="1" applyAlignment="1">
      <alignment horizontal="left" vertical="center"/>
    </xf>
    <xf numFmtId="0" fontId="47" fillId="3" borderId="33" xfId="0" applyFont="1" applyFill="1" applyBorder="1" applyAlignment="1">
      <alignment horizontal="left" vertical="center"/>
    </xf>
    <xf numFmtId="0" fontId="47" fillId="0" borderId="0" xfId="0" applyFont="1" applyAlignment="1">
      <alignment horizontal="center"/>
    </xf>
    <xf numFmtId="0" fontId="45" fillId="3" borderId="1" xfId="0" applyFont="1" applyFill="1" applyBorder="1" applyAlignment="1">
      <alignment horizontal="center" vertical="top"/>
    </xf>
    <xf numFmtId="174" fontId="10" fillId="0" borderId="1" xfId="0" applyNumberFormat="1" applyFont="1" applyBorder="1" applyAlignment="1">
      <alignment vertical="top" wrapText="1"/>
    </xf>
    <xf numFmtId="0" fontId="77" fillId="0" borderId="0" xfId="0" applyFont="1"/>
    <xf numFmtId="164" fontId="0" fillId="0" borderId="0" xfId="0" applyNumberFormat="1"/>
    <xf numFmtId="174" fontId="24" fillId="0" borderId="1" xfId="0" applyNumberFormat="1" applyFont="1" applyBorder="1" applyAlignment="1">
      <alignment vertical="top" wrapText="1"/>
    </xf>
    <xf numFmtId="0" fontId="44" fillId="3" borderId="25" xfId="0" applyFont="1" applyFill="1" applyBorder="1" applyAlignment="1">
      <alignment horizontal="left" vertical="center"/>
    </xf>
    <xf numFmtId="0" fontId="44" fillId="3" borderId="26" xfId="0" applyFont="1" applyFill="1" applyBorder="1" applyAlignment="1">
      <alignment horizontal="center" vertical="center"/>
    </xf>
    <xf numFmtId="0" fontId="44" fillId="3" borderId="27" xfId="0" applyFont="1" applyFill="1" applyBorder="1" applyAlignment="1">
      <alignment horizontal="center" vertical="center"/>
    </xf>
    <xf numFmtId="0" fontId="24" fillId="10" borderId="44" xfId="0" applyFont="1" applyFill="1" applyBorder="1" applyAlignment="1">
      <alignment vertical="top" wrapText="1"/>
    </xf>
    <xf numFmtId="0" fontId="24" fillId="10" borderId="19" xfId="0" applyFont="1" applyFill="1" applyBorder="1" applyAlignment="1">
      <alignment vertical="top" wrapText="1"/>
    </xf>
    <xf numFmtId="167" fontId="24" fillId="10" borderId="20" xfId="7" applyNumberFormat="1" applyFont="1" applyFill="1" applyBorder="1" applyAlignment="1" applyProtection="1">
      <alignment horizontal="left" vertical="top" wrapText="1"/>
    </xf>
    <xf numFmtId="0" fontId="10" fillId="0" borderId="15" xfId="0" applyFont="1" applyBorder="1" applyAlignment="1">
      <alignment vertical="center" wrapText="1"/>
    </xf>
    <xf numFmtId="164" fontId="10" fillId="0" borderId="0" xfId="0" applyNumberFormat="1" applyFont="1" applyAlignment="1">
      <alignment horizontal="left" vertical="center" wrapText="1"/>
    </xf>
    <xf numFmtId="0" fontId="10" fillId="0" borderId="0" xfId="0" applyFont="1" applyAlignment="1">
      <alignment horizontal="left" vertical="center" wrapText="1"/>
    </xf>
    <xf numFmtId="0" fontId="10" fillId="0" borderId="21" xfId="0" applyFont="1" applyBorder="1" applyAlignment="1">
      <alignment horizontal="left" vertical="center" wrapText="1"/>
    </xf>
    <xf numFmtId="0" fontId="24" fillId="10" borderId="15" xfId="0" applyFont="1" applyFill="1" applyBorder="1" applyAlignment="1">
      <alignment vertical="top" wrapText="1"/>
    </xf>
    <xf numFmtId="0" fontId="10" fillId="10" borderId="0" xfId="0" applyFont="1" applyFill="1" applyAlignment="1">
      <alignment vertical="top"/>
    </xf>
    <xf numFmtId="44" fontId="10" fillId="10" borderId="21" xfId="7" applyFont="1" applyFill="1" applyBorder="1" applyAlignment="1" applyProtection="1">
      <alignment horizontal="right" vertical="center" wrapText="1"/>
    </xf>
    <xf numFmtId="164" fontId="10" fillId="0" borderId="15" xfId="0" applyNumberFormat="1" applyFont="1" applyBorder="1" applyAlignment="1">
      <alignment horizontal="left" vertical="center" wrapText="1"/>
    </xf>
    <xf numFmtId="164" fontId="10" fillId="0" borderId="0" xfId="0" applyNumberFormat="1" applyFont="1" applyAlignment="1">
      <alignment horizontal="left" vertical="top" wrapText="1"/>
    </xf>
    <xf numFmtId="164" fontId="10" fillId="0" borderId="21" xfId="0" applyNumberFormat="1" applyFont="1" applyBorder="1" applyAlignment="1">
      <alignment horizontal="left" vertical="top" wrapText="1"/>
    </xf>
    <xf numFmtId="164" fontId="10" fillId="0" borderId="15" xfId="0" applyNumberFormat="1" applyFont="1" applyBorder="1"/>
    <xf numFmtId="164" fontId="10" fillId="0" borderId="21" xfId="0" applyNumberFormat="1" applyFont="1" applyBorder="1" applyAlignment="1">
      <alignment horizontal="left" wrapText="1"/>
    </xf>
    <xf numFmtId="164" fontId="10" fillId="0" borderId="45" xfId="0" applyNumberFormat="1" applyFont="1" applyBorder="1" applyAlignment="1">
      <alignment vertical="top"/>
    </xf>
    <xf numFmtId="164" fontId="10" fillId="0" borderId="14" xfId="0" applyNumberFormat="1" applyFont="1" applyBorder="1" applyAlignment="1">
      <alignment vertical="top"/>
    </xf>
    <xf numFmtId="164" fontId="10" fillId="0" borderId="14" xfId="0" applyNumberFormat="1" applyFont="1" applyBorder="1" applyAlignment="1">
      <alignment horizontal="left" vertical="top" wrapText="1"/>
    </xf>
    <xf numFmtId="164" fontId="10" fillId="0" borderId="32" xfId="0" applyNumberFormat="1" applyFont="1" applyBorder="1" applyAlignment="1">
      <alignment vertical="top"/>
    </xf>
    <xf numFmtId="0" fontId="24" fillId="10" borderId="15" xfId="0" applyFont="1" applyFill="1" applyBorder="1" applyAlignment="1">
      <alignment vertical="top"/>
    </xf>
    <xf numFmtId="0" fontId="10" fillId="10" borderId="0" xfId="0" applyFont="1" applyFill="1" applyAlignment="1">
      <alignment horizontal="left" vertical="top"/>
    </xf>
    <xf numFmtId="0" fontId="10" fillId="10" borderId="0" xfId="0" applyFont="1" applyFill="1" applyAlignment="1">
      <alignment horizontal="left" vertical="center" wrapText="1"/>
    </xf>
    <xf numFmtId="174" fontId="10" fillId="10" borderId="21" xfId="0" applyNumberFormat="1" applyFont="1" applyFill="1" applyBorder="1" applyAlignment="1">
      <alignment vertical="top" wrapText="1"/>
    </xf>
    <xf numFmtId="164" fontId="10" fillId="0" borderId="15" xfId="0" applyNumberFormat="1" applyFont="1" applyBorder="1" applyAlignment="1">
      <alignment horizontal="left" vertical="top" indent="1"/>
    </xf>
    <xf numFmtId="0" fontId="0" fillId="0" borderId="21" xfId="0" applyBorder="1" applyAlignment="1">
      <alignment horizontal="left"/>
    </xf>
    <xf numFmtId="164" fontId="10" fillId="0" borderId="15" xfId="0" applyNumberFormat="1" applyFont="1" applyBorder="1" applyAlignment="1">
      <alignment horizontal="left" vertical="center" indent="1"/>
    </xf>
    <xf numFmtId="164" fontId="10" fillId="0" borderId="15" xfId="0" applyNumberFormat="1" applyFont="1" applyBorder="1" applyAlignment="1">
      <alignment vertical="top"/>
    </xf>
    <xf numFmtId="164" fontId="28" fillId="0" borderId="45" xfId="0" applyNumberFormat="1" applyFont="1" applyBorder="1" applyAlignment="1">
      <alignment horizontal="left" vertical="top" indent="1"/>
    </xf>
    <xf numFmtId="164" fontId="28" fillId="0" borderId="14" xfId="0" applyNumberFormat="1" applyFont="1" applyBorder="1" applyAlignment="1">
      <alignment horizontal="left" vertical="top" indent="1"/>
    </xf>
    <xf numFmtId="0" fontId="0" fillId="0" borderId="32" xfId="0" applyBorder="1" applyAlignment="1">
      <alignment horizontal="left"/>
    </xf>
    <xf numFmtId="0" fontId="10" fillId="10" borderId="0" xfId="0" applyFont="1" applyFill="1" applyAlignment="1">
      <alignment horizontal="left" vertical="top" wrapText="1"/>
    </xf>
    <xf numFmtId="164" fontId="10" fillId="0" borderId="15" xfId="0" applyNumberFormat="1" applyFont="1" applyBorder="1" applyAlignment="1">
      <alignment horizontal="left" vertical="center" wrapText="1" indent="1"/>
    </xf>
    <xf numFmtId="164" fontId="10" fillId="0" borderId="21" xfId="0" applyNumberFormat="1" applyFont="1" applyBorder="1" applyAlignment="1">
      <alignment horizontal="left" vertical="center" wrapText="1"/>
    </xf>
    <xf numFmtId="164" fontId="10" fillId="0" borderId="45" xfId="0" applyNumberFormat="1" applyFont="1" applyBorder="1" applyAlignment="1">
      <alignment horizontal="left" vertical="top" indent="1"/>
    </xf>
    <xf numFmtId="164" fontId="10" fillId="0" borderId="14" xfId="0" applyNumberFormat="1" applyFont="1" applyBorder="1" applyAlignment="1">
      <alignment horizontal="left" vertical="center" wrapText="1"/>
    </xf>
    <xf numFmtId="164" fontId="10" fillId="0" borderId="32" xfId="0" applyNumberFormat="1" applyFont="1" applyBorder="1" applyAlignment="1">
      <alignment horizontal="left" vertical="center" wrapText="1"/>
    </xf>
    <xf numFmtId="0" fontId="24" fillId="2" borderId="43" xfId="0" applyFont="1" applyFill="1" applyBorder="1" applyAlignment="1">
      <alignment horizontal="left" vertical="center" wrapText="1"/>
    </xf>
    <xf numFmtId="0" fontId="24" fillId="2" borderId="33" xfId="0" applyFont="1" applyFill="1" applyBorder="1" applyAlignment="1">
      <alignment horizontal="left" vertical="center"/>
    </xf>
    <xf numFmtId="0" fontId="24" fillId="2" borderId="33" xfId="0" applyFont="1" applyFill="1" applyBorder="1" applyAlignment="1">
      <alignment horizontal="left" vertical="center" wrapText="1"/>
    </xf>
    <xf numFmtId="164" fontId="24" fillId="2" borderId="34" xfId="0" applyNumberFormat="1" applyFont="1" applyFill="1" applyBorder="1" applyAlignment="1">
      <alignment vertical="center" wrapText="1"/>
    </xf>
    <xf numFmtId="0" fontId="10" fillId="0" borderId="0" xfId="0" applyFont="1" applyAlignment="1">
      <alignment vertical="top" wrapText="1"/>
    </xf>
    <xf numFmtId="164" fontId="10" fillId="0" borderId="0" xfId="0" applyNumberFormat="1" applyFont="1" applyAlignment="1">
      <alignment vertical="top" wrapText="1"/>
    </xf>
    <xf numFmtId="0" fontId="24" fillId="14" borderId="43" xfId="0" applyFont="1" applyFill="1" applyBorder="1" applyAlignment="1">
      <alignment vertical="center"/>
    </xf>
    <xf numFmtId="0" fontId="24" fillId="14" borderId="33" xfId="0" applyFont="1" applyFill="1" applyBorder="1" applyAlignment="1">
      <alignment vertical="center"/>
    </xf>
    <xf numFmtId="174" fontId="38" fillId="14" borderId="34" xfId="0" applyNumberFormat="1" applyFont="1" applyFill="1" applyBorder="1" applyAlignment="1">
      <alignment horizontal="right" vertical="center" wrapText="1"/>
    </xf>
    <xf numFmtId="0" fontId="47" fillId="3" borderId="34" xfId="0" applyFont="1" applyFill="1" applyBorder="1" applyAlignment="1">
      <alignment horizontal="left" vertical="center"/>
    </xf>
    <xf numFmtId="0" fontId="47" fillId="11" borderId="0" xfId="0" applyFont="1" applyFill="1" applyAlignment="1">
      <alignment horizontal="center"/>
    </xf>
    <xf numFmtId="0" fontId="57" fillId="5" borderId="43" xfId="0" applyFont="1" applyFill="1" applyBorder="1" applyAlignment="1">
      <alignment vertical="center" wrapText="1"/>
    </xf>
    <xf numFmtId="0" fontId="57" fillId="5" borderId="33" xfId="0" applyFont="1" applyFill="1" applyBorder="1" applyAlignment="1">
      <alignment vertical="center" wrapText="1"/>
    </xf>
    <xf numFmtId="0" fontId="57" fillId="5" borderId="34" xfId="0" applyFont="1" applyFill="1" applyBorder="1" applyAlignment="1">
      <alignment vertical="center" wrapText="1"/>
    </xf>
    <xf numFmtId="0" fontId="43" fillId="19" borderId="0" xfId="0" applyFont="1" applyFill="1"/>
    <xf numFmtId="174" fontId="32" fillId="0" borderId="6" xfId="0" applyNumberFormat="1" applyFont="1" applyBorder="1"/>
    <xf numFmtId="9" fontId="10" fillId="0" borderId="1" xfId="1" applyFont="1" applyBorder="1" applyProtection="1"/>
    <xf numFmtId="0" fontId="10" fillId="0" borderId="46" xfId="0" applyFont="1" applyBorder="1" applyAlignment="1">
      <alignment horizontal="left" indent="1"/>
    </xf>
    <xf numFmtId="174" fontId="28" fillId="0" borderId="1" xfId="0" applyNumberFormat="1" applyFont="1" applyBorder="1"/>
    <xf numFmtId="10" fontId="10" fillId="0" borderId="1" xfId="1" applyNumberFormat="1" applyFont="1" applyBorder="1" applyProtection="1"/>
    <xf numFmtId="9" fontId="10" fillId="0" borderId="6" xfId="1" applyFont="1" applyBorder="1" applyProtection="1"/>
    <xf numFmtId="9" fontId="10" fillId="15" borderId="1" xfId="1" applyFont="1" applyFill="1" applyBorder="1" applyProtection="1"/>
    <xf numFmtId="9" fontId="10" fillId="0" borderId="21" xfId="1" applyFont="1" applyFill="1" applyBorder="1" applyProtection="1"/>
    <xf numFmtId="174" fontId="32" fillId="11" borderId="1" xfId="0" applyNumberFormat="1" applyFont="1" applyFill="1" applyBorder="1"/>
    <xf numFmtId="0" fontId="29" fillId="0" borderId="21" xfId="0" applyFont="1" applyBorder="1" applyAlignment="1">
      <alignment horizontal="left" vertical="top" wrapText="1"/>
    </xf>
    <xf numFmtId="174" fontId="73" fillId="15" borderId="1" xfId="0" applyNumberFormat="1" applyFont="1" applyFill="1" applyBorder="1"/>
    <xf numFmtId="43" fontId="10" fillId="0" borderId="0" xfId="13" applyFont="1" applyFill="1" applyBorder="1" applyProtection="1"/>
    <xf numFmtId="0" fontId="43" fillId="19" borderId="25" xfId="0" applyFont="1" applyFill="1" applyBorder="1"/>
    <xf numFmtId="44" fontId="10" fillId="0" borderId="0" xfId="7" applyFont="1" applyBorder="1" applyProtection="1"/>
    <xf numFmtId="0" fontId="31" fillId="19" borderId="22" xfId="0" applyFont="1" applyFill="1" applyBorder="1"/>
    <xf numFmtId="0" fontId="24" fillId="0" borderId="41" xfId="0" applyFont="1" applyBorder="1" applyAlignment="1">
      <alignment horizontal="left"/>
    </xf>
    <xf numFmtId="44" fontId="24" fillId="0" borderId="1" xfId="7" applyFont="1" applyFill="1" applyBorder="1" applyProtection="1"/>
    <xf numFmtId="0" fontId="10" fillId="0" borderId="41" xfId="0" applyFont="1" applyBorder="1" applyAlignment="1">
      <alignment horizontal="left" indent="1"/>
    </xf>
    <xf numFmtId="174" fontId="10" fillId="0" borderId="1" xfId="0" applyNumberFormat="1" applyFont="1" applyBorder="1"/>
    <xf numFmtId="44" fontId="10" fillId="0" borderId="0" xfId="7" applyFont="1" applyFill="1" applyBorder="1" applyProtection="1"/>
    <xf numFmtId="169" fontId="10" fillId="0" borderId="21" xfId="0" applyNumberFormat="1" applyFont="1" applyBorder="1"/>
    <xf numFmtId="0" fontId="10" fillId="0" borderId="41" xfId="0" applyFont="1" applyBorder="1" applyAlignment="1">
      <alignment horizontal="left"/>
    </xf>
    <xf numFmtId="0" fontId="24" fillId="0" borderId="47" xfId="0" applyFont="1" applyBorder="1" applyAlignment="1">
      <alignment horizontal="left" indent="1"/>
    </xf>
    <xf numFmtId="174" fontId="24" fillId="0" borderId="48" xfId="0" applyNumberFormat="1" applyFont="1" applyBorder="1"/>
    <xf numFmtId="174" fontId="10" fillId="0" borderId="6" xfId="0" applyNumberFormat="1" applyFont="1" applyBorder="1"/>
    <xf numFmtId="0" fontId="27" fillId="0" borderId="22" xfId="0" applyFont="1" applyBorder="1"/>
    <xf numFmtId="0" fontId="10" fillId="0" borderId="23" xfId="0" applyFont="1" applyBorder="1"/>
    <xf numFmtId="44" fontId="10" fillId="0" borderId="23" xfId="7" applyFont="1" applyBorder="1" applyProtection="1"/>
    <xf numFmtId="0" fontId="110" fillId="0" borderId="15" xfId="0" applyFont="1" applyBorder="1" applyAlignment="1">
      <alignment horizontal="center"/>
    </xf>
    <xf numFmtId="0" fontId="110" fillId="0" borderId="0" xfId="0" applyFont="1" applyAlignment="1">
      <alignment horizontal="center"/>
    </xf>
    <xf numFmtId="0" fontId="72" fillId="0" borderId="0" xfId="0" applyFont="1" applyAlignment="1">
      <alignment horizontal="center"/>
    </xf>
    <xf numFmtId="44" fontId="17" fillId="0" borderId="0" xfId="7" applyFont="1" applyFill="1" applyProtection="1"/>
    <xf numFmtId="44" fontId="0" fillId="0" borderId="0" xfId="7" applyFont="1" applyFill="1" applyProtection="1"/>
    <xf numFmtId="0" fontId="17" fillId="0" borderId="40" xfId="0" applyFont="1" applyBorder="1" applyAlignment="1">
      <alignment horizontal="center" vertical="center" wrapText="1"/>
    </xf>
    <xf numFmtId="0" fontId="26" fillId="0" borderId="40" xfId="0" applyFont="1" applyBorder="1" applyAlignment="1">
      <alignment horizontal="center" vertical="center" wrapText="1"/>
    </xf>
    <xf numFmtId="0" fontId="0" fillId="0" borderId="40" xfId="0" applyBorder="1" applyAlignment="1">
      <alignment wrapText="1"/>
    </xf>
    <xf numFmtId="8" fontId="0" fillId="0" borderId="40" xfId="0" applyNumberFormat="1" applyBorder="1" applyAlignment="1">
      <alignment wrapText="1"/>
    </xf>
    <xf numFmtId="8" fontId="0" fillId="11" borderId="40" xfId="0" applyNumberFormat="1" applyFill="1" applyBorder="1" applyAlignment="1">
      <alignment wrapText="1"/>
    </xf>
    <xf numFmtId="44" fontId="76" fillId="20" borderId="39" xfId="7" applyFont="1" applyFill="1" applyBorder="1" applyAlignment="1" applyProtection="1">
      <alignment vertical="top"/>
    </xf>
    <xf numFmtId="44" fontId="17" fillId="0" borderId="40" xfId="7" applyFont="1" applyBorder="1" applyAlignment="1" applyProtection="1">
      <alignment wrapText="1"/>
    </xf>
    <xf numFmtId="8" fontId="17" fillId="0" borderId="40" xfId="7" applyNumberFormat="1" applyFont="1" applyFill="1" applyBorder="1" applyAlignment="1" applyProtection="1">
      <alignment wrapText="1"/>
    </xf>
    <xf numFmtId="44" fontId="17" fillId="0" borderId="0" xfId="7" applyFont="1" applyBorder="1" applyAlignment="1" applyProtection="1">
      <alignment wrapText="1"/>
    </xf>
    <xf numFmtId="0" fontId="44" fillId="0" borderId="0" xfId="0" applyFont="1" applyAlignment="1">
      <alignment horizontal="center"/>
    </xf>
    <xf numFmtId="8" fontId="17" fillId="0" borderId="40" xfId="0" applyNumberFormat="1" applyFont="1" applyBorder="1" applyAlignment="1">
      <alignment wrapText="1"/>
    </xf>
    <xf numFmtId="44" fontId="17" fillId="0" borderId="0" xfId="7" applyFont="1" applyProtection="1"/>
    <xf numFmtId="0" fontId="17" fillId="0" borderId="51" xfId="0" applyFont="1" applyBorder="1" applyAlignment="1">
      <alignment horizontal="center" vertical="center" wrapText="1"/>
    </xf>
    <xf numFmtId="0" fontId="0" fillId="0" borderId="38" xfId="0" applyBorder="1"/>
    <xf numFmtId="0" fontId="0" fillId="0" borderId="50" xfId="0" applyBorder="1" applyAlignment="1">
      <alignment wrapText="1"/>
    </xf>
    <xf numFmtId="0" fontId="23" fillId="0" borderId="0" xfId="0" applyFont="1"/>
    <xf numFmtId="0" fontId="0" fillId="0" borderId="18" xfId="0" applyBorder="1"/>
    <xf numFmtId="0" fontId="25" fillId="0" borderId="0" xfId="0" applyFont="1" applyAlignment="1">
      <alignment vertical="center"/>
    </xf>
    <xf numFmtId="0" fontId="15" fillId="0" borderId="0" xfId="0" applyFont="1" applyAlignment="1">
      <alignment vertical="center" wrapText="1"/>
    </xf>
    <xf numFmtId="0" fontId="43" fillId="19" borderId="43" xfId="0" applyFont="1" applyFill="1" applyBorder="1" applyAlignment="1">
      <alignment horizontal="center" vertical="center"/>
    </xf>
    <xf numFmtId="0" fontId="43" fillId="19" borderId="82" xfId="0" applyFont="1" applyFill="1" applyBorder="1" applyAlignment="1">
      <alignment horizontal="center" vertical="center"/>
    </xf>
    <xf numFmtId="0" fontId="43" fillId="19" borderId="33" xfId="0" applyFont="1" applyFill="1" applyBorder="1" applyAlignment="1">
      <alignment horizontal="center" vertical="center"/>
    </xf>
    <xf numFmtId="0" fontId="43" fillId="19" borderId="38" xfId="0" applyFont="1" applyFill="1" applyBorder="1" applyAlignment="1">
      <alignment horizontal="center" vertical="center"/>
    </xf>
    <xf numFmtId="0" fontId="69" fillId="0" borderId="15" xfId="0" applyFont="1" applyBorder="1" applyAlignment="1">
      <alignment vertical="center"/>
    </xf>
    <xf numFmtId="0" fontId="68" fillId="13" borderId="15" xfId="0" applyFont="1" applyFill="1" applyBorder="1" applyAlignment="1">
      <alignment vertical="center" wrapText="1"/>
    </xf>
    <xf numFmtId="0" fontId="68" fillId="13" borderId="17" xfId="0" applyFont="1" applyFill="1" applyBorder="1" applyAlignment="1">
      <alignment vertical="center" wrapText="1"/>
    </xf>
    <xf numFmtId="0" fontId="68" fillId="13" borderId="0" xfId="0" applyFont="1" applyFill="1" applyAlignment="1">
      <alignment vertical="center" wrapText="1"/>
    </xf>
    <xf numFmtId="0" fontId="10" fillId="13" borderId="17" xfId="0" applyFont="1" applyFill="1" applyBorder="1" applyAlignment="1">
      <alignment vertical="center" wrapText="1"/>
    </xf>
    <xf numFmtId="0" fontId="68" fillId="0" borderId="15" xfId="0" applyFont="1" applyBorder="1" applyAlignment="1">
      <alignment vertical="center"/>
    </xf>
    <xf numFmtId="44" fontId="68" fillId="0" borderId="42" xfId="7" applyFont="1" applyBorder="1" applyAlignment="1" applyProtection="1">
      <alignment vertical="center"/>
    </xf>
    <xf numFmtId="44" fontId="68" fillId="0" borderId="36" xfId="7" applyFont="1" applyBorder="1" applyAlignment="1" applyProtection="1">
      <alignment vertical="center"/>
    </xf>
    <xf numFmtId="44" fontId="68" fillId="0" borderId="9" xfId="0" applyNumberFormat="1" applyFont="1" applyBorder="1" applyAlignment="1">
      <alignment vertical="center"/>
    </xf>
    <xf numFmtId="0" fontId="10" fillId="13" borderId="36" xfId="0" applyFont="1" applyFill="1" applyBorder="1" applyAlignment="1">
      <alignment vertical="center" wrapText="1"/>
    </xf>
    <xf numFmtId="0" fontId="68" fillId="13" borderId="36" xfId="0" applyFont="1" applyFill="1" applyBorder="1" applyAlignment="1">
      <alignment vertical="center"/>
    </xf>
    <xf numFmtId="0" fontId="67" fillId="0" borderId="22" xfId="0" applyFont="1" applyBorder="1" applyAlignment="1">
      <alignment vertical="center"/>
    </xf>
    <xf numFmtId="44" fontId="67" fillId="0" borderId="22" xfId="7" applyFont="1" applyBorder="1" applyAlignment="1" applyProtection="1">
      <alignment vertical="center"/>
    </xf>
    <xf numFmtId="44" fontId="67" fillId="0" borderId="18" xfId="7" applyFont="1" applyBorder="1" applyAlignment="1" applyProtection="1">
      <alignment vertical="center"/>
    </xf>
    <xf numFmtId="44" fontId="67" fillId="0" borderId="23" xfId="7" applyFont="1" applyBorder="1" applyAlignment="1" applyProtection="1">
      <alignment vertical="center"/>
    </xf>
    <xf numFmtId="0" fontId="68" fillId="0" borderId="38" xfId="0" applyFont="1" applyBorder="1" applyAlignment="1">
      <alignment vertical="center"/>
    </xf>
    <xf numFmtId="44" fontId="67" fillId="0" borderId="33" xfId="0" applyNumberFormat="1" applyFont="1" applyBorder="1" applyAlignment="1">
      <alignment vertical="center"/>
    </xf>
    <xf numFmtId="44" fontId="67" fillId="0" borderId="38" xfId="0" applyNumberFormat="1" applyFont="1" applyBorder="1" applyAlignment="1">
      <alignment vertical="center"/>
    </xf>
    <xf numFmtId="0" fontId="68" fillId="13" borderId="38" xfId="0" applyFont="1" applyFill="1" applyBorder="1" applyAlignment="1">
      <alignment vertical="center"/>
    </xf>
    <xf numFmtId="0" fontId="68" fillId="13" borderId="15" xfId="0" applyFont="1" applyFill="1" applyBorder="1" applyAlignment="1">
      <alignment vertical="center"/>
    </xf>
    <xf numFmtId="0" fontId="68" fillId="13" borderId="17" xfId="0" applyFont="1" applyFill="1" applyBorder="1" applyAlignment="1">
      <alignment vertical="center"/>
    </xf>
    <xf numFmtId="0" fontId="68" fillId="13" borderId="0" xfId="0" applyFont="1" applyFill="1" applyAlignment="1">
      <alignment vertical="center"/>
    </xf>
    <xf numFmtId="44" fontId="68" fillId="0" borderId="42" xfId="0" applyNumberFormat="1" applyFont="1" applyBorder="1" applyAlignment="1">
      <alignment vertical="center"/>
    </xf>
    <xf numFmtId="44" fontId="68" fillId="0" borderId="36" xfId="0" applyNumberFormat="1" applyFont="1" applyBorder="1" applyAlignment="1">
      <alignment vertical="center"/>
    </xf>
    <xf numFmtId="44" fontId="68" fillId="0" borderId="42" xfId="7" applyFont="1" applyFill="1" applyBorder="1" applyAlignment="1" applyProtection="1">
      <alignment vertical="center"/>
    </xf>
    <xf numFmtId="44" fontId="68" fillId="0" borderId="36" xfId="7" applyFont="1" applyFill="1" applyBorder="1" applyAlignment="1" applyProtection="1">
      <alignment vertical="center"/>
    </xf>
    <xf numFmtId="44" fontId="68" fillId="0" borderId="9" xfId="7" applyFont="1" applyFill="1" applyBorder="1" applyAlignment="1" applyProtection="1">
      <alignment vertical="center"/>
    </xf>
    <xf numFmtId="44" fontId="10" fillId="0" borderId="36" xfId="7" applyFont="1" applyFill="1" applyBorder="1" applyAlignment="1" applyProtection="1">
      <alignment vertical="center" wrapText="1"/>
    </xf>
    <xf numFmtId="0" fontId="69" fillId="0" borderId="25" xfId="0" applyFont="1" applyBorder="1" applyAlignment="1">
      <alignment vertical="center"/>
    </xf>
    <xf numFmtId="0" fontId="68" fillId="13" borderId="25" xfId="0" applyFont="1" applyFill="1" applyBorder="1" applyAlignment="1">
      <alignment vertical="center"/>
    </xf>
    <xf numFmtId="0" fontId="68" fillId="13" borderId="16" xfId="0" applyFont="1" applyFill="1" applyBorder="1" applyAlignment="1">
      <alignment vertical="center"/>
    </xf>
    <xf numFmtId="0" fontId="68" fillId="13" borderId="26" xfId="0" applyFont="1" applyFill="1" applyBorder="1" applyAlignment="1">
      <alignment vertical="center"/>
    </xf>
    <xf numFmtId="0" fontId="10" fillId="13" borderId="16" xfId="0" applyFont="1" applyFill="1" applyBorder="1" applyAlignment="1">
      <alignment vertical="center" wrapText="1"/>
    </xf>
    <xf numFmtId="0" fontId="70" fillId="0" borderId="0" xfId="0" applyFont="1" applyAlignment="1">
      <alignment vertical="center"/>
    </xf>
    <xf numFmtId="0" fontId="24" fillId="0" borderId="22" xfId="0" applyFont="1" applyBorder="1"/>
    <xf numFmtId="44" fontId="24" fillId="0" borderId="22" xfId="0" applyNumberFormat="1" applyFont="1" applyBorder="1"/>
    <xf numFmtId="44" fontId="24" fillId="0" borderId="18" xfId="0" applyNumberFormat="1" applyFont="1" applyBorder="1"/>
    <xf numFmtId="0" fontId="68" fillId="2" borderId="15" xfId="0" applyFont="1" applyFill="1" applyBorder="1" applyAlignment="1" applyProtection="1">
      <alignment vertical="center"/>
      <protection locked="0"/>
    </xf>
    <xf numFmtId="9" fontId="2" fillId="0" borderId="0" xfId="1" applyFont="1" applyFill="1" applyBorder="1" applyAlignment="1" applyProtection="1">
      <alignment horizontal="center" wrapText="1"/>
    </xf>
    <xf numFmtId="10" fontId="1" fillId="0" borderId="0" xfId="1" applyNumberFormat="1" applyFont="1" applyFill="1" applyBorder="1" applyAlignment="1" applyProtection="1">
      <alignment horizontal="center" vertical="center"/>
    </xf>
    <xf numFmtId="9" fontId="1" fillId="0" borderId="0" xfId="1" applyFont="1" applyFill="1" applyBorder="1" applyAlignment="1" applyProtection="1">
      <alignment horizontal="center"/>
    </xf>
    <xf numFmtId="9" fontId="1" fillId="0" borderId="0" xfId="1" applyFont="1" applyFill="1" applyBorder="1" applyAlignment="1" applyProtection="1">
      <alignment horizontal="center" vertical="center"/>
    </xf>
    <xf numFmtId="9" fontId="130" fillId="0" borderId="0" xfId="1" applyFont="1" applyFill="1" applyBorder="1" applyAlignment="1" applyProtection="1">
      <alignment horizontal="center" vertical="center"/>
    </xf>
    <xf numFmtId="9" fontId="103" fillId="0" borderId="0" xfId="1" quotePrefix="1" applyFont="1" applyFill="1" applyBorder="1" applyAlignment="1" applyProtection="1">
      <alignment horizontal="left" vertical="top"/>
    </xf>
    <xf numFmtId="0" fontId="84" fillId="0" borderId="0" xfId="0" applyFont="1"/>
    <xf numFmtId="0" fontId="85" fillId="0" borderId="0" xfId="0" applyFont="1" applyAlignment="1">
      <alignment horizontal="right" vertical="center" wrapText="1"/>
    </xf>
    <xf numFmtId="0" fontId="2" fillId="0" borderId="0" xfId="0" applyFont="1" applyAlignment="1">
      <alignment vertical="center" wrapText="1"/>
    </xf>
    <xf numFmtId="0" fontId="85" fillId="0" borderId="0" xfId="0" applyFont="1" applyAlignment="1">
      <alignment vertical="top"/>
    </xf>
    <xf numFmtId="1" fontId="4" fillId="14" borderId="75" xfId="7" applyNumberFormat="1" applyFont="1" applyFill="1" applyBorder="1" applyAlignment="1" applyProtection="1">
      <alignment horizontal="left" vertical="top"/>
    </xf>
    <xf numFmtId="49" fontId="4" fillId="14" borderId="75" xfId="7" applyNumberFormat="1" applyFont="1" applyFill="1" applyBorder="1" applyAlignment="1" applyProtection="1">
      <alignment horizontal="left" vertical="top"/>
    </xf>
    <xf numFmtId="177" fontId="4" fillId="14" borderId="75" xfId="7" applyNumberFormat="1" applyFont="1" applyFill="1" applyBorder="1" applyAlignment="1" applyProtection="1">
      <alignment horizontal="left" vertical="top"/>
    </xf>
    <xf numFmtId="14" fontId="4" fillId="12" borderId="4" xfId="7" applyNumberFormat="1" applyFont="1" applyFill="1" applyBorder="1" applyAlignment="1" applyProtection="1">
      <alignment horizontal="left" vertical="top"/>
    </xf>
    <xf numFmtId="0" fontId="4" fillId="0" borderId="0" xfId="0" applyFont="1" applyAlignment="1">
      <alignment horizontal="left" vertical="top"/>
    </xf>
    <xf numFmtId="0" fontId="1" fillId="0" borderId="0" xfId="0" applyFont="1" applyAlignment="1">
      <alignment horizontal="left" vertical="top" indent="2"/>
    </xf>
    <xf numFmtId="1" fontId="4" fillId="14" borderId="75" xfId="13" applyNumberFormat="1" applyFont="1" applyFill="1" applyBorder="1" applyAlignment="1" applyProtection="1">
      <alignment horizontal="center"/>
    </xf>
    <xf numFmtId="0" fontId="91" fillId="0" borderId="0" xfId="0" applyFont="1" applyAlignment="1">
      <alignment horizontal="center"/>
    </xf>
    <xf numFmtId="0" fontId="1" fillId="0" borderId="0" xfId="0" applyFont="1" applyAlignment="1">
      <alignment horizontal="center" vertical="top" wrapText="1"/>
    </xf>
    <xf numFmtId="0" fontId="1" fillId="11" borderId="0" xfId="0" applyFont="1" applyFill="1" applyAlignment="1">
      <alignment horizontal="right" vertical="top" wrapText="1"/>
    </xf>
    <xf numFmtId="0" fontId="88" fillId="22" borderId="76" xfId="0" applyFont="1" applyFill="1" applyBorder="1" applyAlignment="1">
      <alignment horizontal="center" vertical="top" wrapText="1"/>
    </xf>
    <xf numFmtId="1" fontId="4" fillId="14" borderId="77" xfId="7" applyNumberFormat="1" applyFont="1" applyFill="1" applyBorder="1" applyAlignment="1" applyProtection="1">
      <alignment horizontal="center" vertical="top"/>
    </xf>
    <xf numFmtId="0" fontId="2" fillId="0" borderId="0" xfId="0" applyFont="1" applyAlignment="1">
      <alignment horizontal="right" vertical="top" wrapText="1"/>
    </xf>
    <xf numFmtId="0" fontId="86" fillId="0" borderId="0" xfId="0" applyFont="1"/>
    <xf numFmtId="0" fontId="83" fillId="0" borderId="0" xfId="0" applyFont="1"/>
    <xf numFmtId="44" fontId="4" fillId="14" borderId="77" xfId="7" applyFont="1" applyFill="1" applyBorder="1" applyAlignment="1" applyProtection="1">
      <alignment vertical="center"/>
    </xf>
    <xf numFmtId="0" fontId="92" fillId="0" borderId="0" xfId="0" applyFont="1" applyAlignment="1">
      <alignment horizontal="left" vertical="top"/>
    </xf>
    <xf numFmtId="0" fontId="93" fillId="0" borderId="0" xfId="0" applyFont="1" applyAlignment="1">
      <alignment horizontal="center"/>
    </xf>
    <xf numFmtId="0" fontId="118" fillId="0" borderId="0" xfId="0" applyFont="1"/>
    <xf numFmtId="0" fontId="2" fillId="0" borderId="0" xfId="0" applyFont="1" applyAlignment="1">
      <alignment wrapText="1"/>
    </xf>
    <xf numFmtId="0" fontId="1" fillId="0" borderId="0" xfId="0" applyFont="1" applyAlignment="1">
      <alignment horizontal="left" wrapText="1"/>
    </xf>
    <xf numFmtId="0" fontId="88" fillId="22" borderId="76" xfId="0" applyFont="1" applyFill="1" applyBorder="1" applyAlignment="1">
      <alignment horizontal="center"/>
    </xf>
    <xf numFmtId="44" fontId="4" fillId="12" borderId="77" xfId="7" applyFont="1" applyFill="1" applyBorder="1" applyAlignment="1" applyProtection="1">
      <alignment vertical="center"/>
    </xf>
    <xf numFmtId="9" fontId="3" fillId="0" borderId="0" xfId="0" applyNumberFormat="1" applyFont="1"/>
    <xf numFmtId="0" fontId="1" fillId="0" borderId="0" xfId="0" applyFont="1" applyAlignment="1">
      <alignment horizontal="left" indent="2"/>
    </xf>
    <xf numFmtId="0" fontId="92" fillId="0" borderId="0" xfId="0" applyFont="1" applyAlignment="1">
      <alignment horizontal="right"/>
    </xf>
    <xf numFmtId="9" fontId="1" fillId="0" borderId="0" xfId="0" applyNumberFormat="1" applyFont="1" applyAlignment="1">
      <alignment wrapText="1"/>
    </xf>
    <xf numFmtId="0" fontId="92" fillId="0" borderId="0" xfId="0" applyFont="1" applyAlignment="1">
      <alignment horizontal="center" vertical="top"/>
    </xf>
    <xf numFmtId="0" fontId="88" fillId="22" borderId="76" xfId="0" applyFont="1" applyFill="1" applyBorder="1" applyAlignment="1">
      <alignment horizontal="center" vertical="top"/>
    </xf>
    <xf numFmtId="44" fontId="4" fillId="14" borderId="77" xfId="7" applyFont="1" applyFill="1" applyBorder="1" applyAlignment="1" applyProtection="1">
      <alignment vertical="top"/>
    </xf>
    <xf numFmtId="44" fontId="4" fillId="12" borderId="77" xfId="7" applyFont="1" applyFill="1" applyBorder="1" applyAlignment="1" applyProtection="1">
      <alignment vertical="top"/>
    </xf>
    <xf numFmtId="9" fontId="1" fillId="0" borderId="0" xfId="0" applyNumberFormat="1" applyFont="1" applyAlignment="1">
      <alignment horizontal="left" indent="2"/>
    </xf>
    <xf numFmtId="0" fontId="2" fillId="0" borderId="0" xfId="0" quotePrefix="1" applyFont="1" applyAlignment="1">
      <alignment wrapText="1"/>
    </xf>
    <xf numFmtId="0" fontId="88" fillId="22" borderId="76" xfId="0" applyFont="1" applyFill="1" applyBorder="1" applyAlignment="1">
      <alignment horizontal="center" wrapText="1"/>
    </xf>
    <xf numFmtId="0" fontId="1" fillId="0" borderId="0" xfId="0" quotePrefix="1" applyFont="1" applyAlignment="1">
      <alignment wrapText="1"/>
    </xf>
    <xf numFmtId="0" fontId="2" fillId="0" borderId="0" xfId="0" applyFont="1" applyAlignment="1">
      <alignment horizontal="left" wrapText="1"/>
    </xf>
    <xf numFmtId="0" fontId="4" fillId="14" borderId="77" xfId="7" applyNumberFormat="1" applyFont="1" applyFill="1" applyBorder="1" applyAlignment="1" applyProtection="1">
      <alignment horizontal="left" vertical="center" wrapText="1"/>
    </xf>
    <xf numFmtId="176" fontId="4" fillId="14" borderId="77" xfId="7" applyNumberFormat="1" applyFont="1" applyFill="1" applyBorder="1" applyAlignment="1" applyProtection="1">
      <alignment vertical="center"/>
    </xf>
    <xf numFmtId="0" fontId="9" fillId="14" borderId="77" xfId="5" applyNumberFormat="1" applyFill="1" applyBorder="1" applyAlignment="1" applyProtection="1">
      <alignment vertical="center"/>
    </xf>
    <xf numFmtId="0" fontId="4" fillId="14" borderId="77" xfId="7" applyNumberFormat="1" applyFont="1" applyFill="1" applyBorder="1" applyAlignment="1" applyProtection="1">
      <alignment horizontal="left" vertical="center"/>
    </xf>
    <xf numFmtId="0" fontId="96" fillId="0" borderId="0" xfId="0" applyFont="1" applyAlignment="1">
      <alignment vertical="top" wrapText="1"/>
    </xf>
    <xf numFmtId="0" fontId="76" fillId="0" borderId="0" xfId="0" applyFont="1" applyAlignment="1">
      <alignment horizontal="left" vertical="center" wrapText="1"/>
    </xf>
    <xf numFmtId="175" fontId="4" fillId="14" borderId="77" xfId="7" applyNumberFormat="1" applyFont="1" applyFill="1" applyBorder="1" applyAlignment="1" applyProtection="1">
      <alignment horizontal="center" vertical="center"/>
    </xf>
    <xf numFmtId="0" fontId="0" fillId="11" borderId="0" xfId="0" applyFill="1" applyAlignment="1">
      <alignment horizontal="center"/>
    </xf>
    <xf numFmtId="9" fontId="0" fillId="11" borderId="0" xfId="0" applyNumberFormat="1" applyFill="1" applyAlignment="1">
      <alignment horizontal="center"/>
    </xf>
    <xf numFmtId="0" fontId="49" fillId="0" borderId="25" xfId="0" applyFont="1" applyBorder="1" applyAlignment="1">
      <alignment horizontal="left"/>
    </xf>
    <xf numFmtId="0" fontId="49" fillId="0" borderId="26" xfId="0" applyFont="1" applyBorder="1" applyAlignment="1">
      <alignment horizontal="left"/>
    </xf>
    <xf numFmtId="0" fontId="0" fillId="0" borderId="26" xfId="0" applyBorder="1" applyAlignment="1">
      <alignment horizontal="center"/>
    </xf>
    <xf numFmtId="0" fontId="0" fillId="11" borderId="26" xfId="0" applyFill="1" applyBorder="1" applyAlignment="1">
      <alignment horizontal="center"/>
    </xf>
    <xf numFmtId="0" fontId="0" fillId="11" borderId="27" xfId="0" applyFill="1" applyBorder="1" applyAlignment="1">
      <alignment horizontal="center"/>
    </xf>
    <xf numFmtId="0" fontId="50" fillId="11" borderId="25" xfId="0" applyFont="1" applyFill="1" applyBorder="1" applyAlignment="1">
      <alignment horizontal="left"/>
    </xf>
    <xf numFmtId="0" fontId="52" fillId="11" borderId="26" xfId="0" applyFont="1" applyFill="1" applyBorder="1" applyAlignment="1">
      <alignment horizontal="center"/>
    </xf>
    <xf numFmtId="0" fontId="20" fillId="0" borderId="15" xfId="0" applyFont="1" applyBorder="1" applyAlignment="1">
      <alignment horizontal="left"/>
    </xf>
    <xf numFmtId="0" fontId="20" fillId="0" borderId="1" xfId="0" quotePrefix="1" applyFont="1" applyBorder="1" applyAlignment="1">
      <alignment horizontal="center"/>
    </xf>
    <xf numFmtId="172" fontId="20" fillId="0" borderId="1" xfId="0" applyNumberFormat="1" applyFont="1" applyBorder="1" applyAlignment="1">
      <alignment horizontal="center"/>
    </xf>
    <xf numFmtId="164" fontId="20" fillId="0" borderId="0" xfId="0" applyNumberFormat="1" applyFont="1" applyAlignment="1">
      <alignment horizontal="center"/>
    </xf>
    <xf numFmtId="164" fontId="20" fillId="0" borderId="1" xfId="0" applyNumberFormat="1" applyFont="1" applyBorder="1" applyAlignment="1">
      <alignment horizontal="center"/>
    </xf>
    <xf numFmtId="1" fontId="20" fillId="0" borderId="1" xfId="0" applyNumberFormat="1" applyFont="1" applyBorder="1" applyAlignment="1">
      <alignment horizontal="center"/>
    </xf>
    <xf numFmtId="173" fontId="20" fillId="0" borderId="68" xfId="0" applyNumberFormat="1" applyFont="1" applyBorder="1" applyAlignment="1">
      <alignment horizontal="center"/>
    </xf>
    <xf numFmtId="0" fontId="20" fillId="0" borderId="1" xfId="0" quotePrefix="1" applyFont="1" applyBorder="1" applyAlignment="1">
      <alignment horizontal="left" wrapText="1"/>
    </xf>
    <xf numFmtId="2" fontId="53" fillId="0" borderId="1" xfId="0" applyNumberFormat="1" applyFont="1" applyBorder="1" applyAlignment="1">
      <alignment horizontal="center"/>
    </xf>
    <xf numFmtId="164" fontId="20" fillId="0" borderId="6" xfId="0" applyNumberFormat="1" applyFont="1" applyBorder="1" applyAlignment="1">
      <alignment horizontal="center"/>
    </xf>
    <xf numFmtId="0" fontId="53" fillId="0" borderId="0" xfId="0" applyFont="1" applyAlignment="1">
      <alignment horizontal="center"/>
    </xf>
    <xf numFmtId="1" fontId="20" fillId="0" borderId="6" xfId="0" applyNumberFormat="1" applyFont="1" applyBorder="1" applyAlignment="1">
      <alignment horizontal="center"/>
    </xf>
    <xf numFmtId="0" fontId="21" fillId="0" borderId="0" xfId="0" applyFont="1"/>
    <xf numFmtId="0" fontId="50" fillId="0" borderId="15" xfId="0" applyFont="1" applyBorder="1"/>
    <xf numFmtId="1" fontId="0" fillId="0" borderId="0" xfId="0" applyNumberFormat="1"/>
    <xf numFmtId="0" fontId="54" fillId="0" borderId="0" xfId="0" applyFont="1" applyAlignment="1">
      <alignment horizontal="center"/>
    </xf>
    <xf numFmtId="173" fontId="0" fillId="0" borderId="21" xfId="0" applyNumberFormat="1" applyBorder="1"/>
    <xf numFmtId="0" fontId="20" fillId="0" borderId="0" xfId="0" applyFont="1" applyAlignment="1">
      <alignment horizontal="left"/>
    </xf>
    <xf numFmtId="0" fontId="20" fillId="0" borderId="0" xfId="0" applyFont="1" applyAlignment="1">
      <alignment horizontal="right"/>
    </xf>
    <xf numFmtId="164" fontId="20" fillId="0" borderId="0" xfId="0" applyNumberFormat="1" applyFont="1"/>
    <xf numFmtId="0" fontId="0" fillId="0" borderId="1" xfId="0" applyBorder="1" applyAlignment="1">
      <alignment horizontal="center"/>
    </xf>
    <xf numFmtId="0" fontId="53" fillId="0" borderId="1" xfId="0" applyFont="1" applyBorder="1" applyAlignment="1">
      <alignment horizontal="center"/>
    </xf>
    <xf numFmtId="1" fontId="53" fillId="0" borderId="1" xfId="0" applyNumberFormat="1" applyFont="1" applyBorder="1" applyAlignment="1">
      <alignment horizontal="center"/>
    </xf>
    <xf numFmtId="0" fontId="20" fillId="0" borderId="0" xfId="0" applyFont="1" applyAlignment="1">
      <alignment horizontal="center"/>
    </xf>
    <xf numFmtId="174" fontId="20" fillId="0" borderId="0" xfId="0" applyNumberFormat="1" applyFont="1" applyAlignment="1">
      <alignment horizontal="center"/>
    </xf>
    <xf numFmtId="1" fontId="20" fillId="0" borderId="0" xfId="0" applyNumberFormat="1" applyFont="1" applyAlignment="1">
      <alignment horizontal="center"/>
    </xf>
    <xf numFmtId="173" fontId="20" fillId="0" borderId="21" xfId="0" applyNumberFormat="1" applyFont="1" applyBorder="1" applyAlignment="1">
      <alignment horizontal="center"/>
    </xf>
    <xf numFmtId="0" fontId="20" fillId="0" borderId="0" xfId="0" quotePrefix="1" applyFont="1" applyAlignment="1">
      <alignment horizontal="center"/>
    </xf>
    <xf numFmtId="1" fontId="53" fillId="0" borderId="0" xfId="0" applyNumberFormat="1" applyFont="1" applyAlignment="1">
      <alignment horizontal="center"/>
    </xf>
    <xf numFmtId="0" fontId="49" fillId="11" borderId="0" xfId="0" applyFont="1" applyFill="1" applyAlignment="1">
      <alignment horizontal="center"/>
    </xf>
    <xf numFmtId="164" fontId="49" fillId="11" borderId="0" xfId="0" applyNumberFormat="1" applyFont="1" applyFill="1" applyAlignment="1">
      <alignment horizontal="center"/>
    </xf>
    <xf numFmtId="164" fontId="49" fillId="11" borderId="0" xfId="0" applyNumberFormat="1" applyFont="1" applyFill="1" applyAlignment="1">
      <alignment horizontal="right"/>
    </xf>
    <xf numFmtId="173" fontId="55" fillId="16" borderId="21" xfId="0" applyNumberFormat="1" applyFont="1" applyFill="1" applyBorder="1" applyAlignment="1">
      <alignment horizontal="center"/>
    </xf>
    <xf numFmtId="0" fontId="0" fillId="11" borderId="22" xfId="0" applyFill="1" applyBorder="1"/>
    <xf numFmtId="0" fontId="49" fillId="11" borderId="23" xfId="0" applyFont="1" applyFill="1" applyBorder="1" applyAlignment="1">
      <alignment horizontal="center"/>
    </xf>
    <xf numFmtId="164" fontId="49" fillId="11" borderId="23" xfId="0" applyNumberFormat="1" applyFont="1" applyFill="1" applyBorder="1" applyAlignment="1">
      <alignment horizontal="center"/>
    </xf>
    <xf numFmtId="164" fontId="49" fillId="11" borderId="24" xfId="0" applyNumberFormat="1" applyFont="1" applyFill="1" applyBorder="1" applyAlignment="1">
      <alignment horizontal="center"/>
    </xf>
    <xf numFmtId="0" fontId="50" fillId="0" borderId="25" xfId="0" applyFont="1" applyBorder="1"/>
    <xf numFmtId="0" fontId="49" fillId="11" borderId="26" xfId="0" applyFont="1" applyFill="1" applyBorder="1" applyAlignment="1">
      <alignment horizontal="center"/>
    </xf>
    <xf numFmtId="164" fontId="49" fillId="11" borderId="26" xfId="0" applyNumberFormat="1" applyFont="1" applyFill="1" applyBorder="1" applyAlignment="1">
      <alignment horizontal="center"/>
    </xf>
    <xf numFmtId="164" fontId="49" fillId="11" borderId="27" xfId="0" applyNumberFormat="1" applyFont="1" applyFill="1" applyBorder="1" applyAlignment="1">
      <alignment horizontal="center"/>
    </xf>
    <xf numFmtId="0" fontId="49" fillId="11" borderId="0" xfId="0" applyFont="1" applyFill="1" applyAlignment="1">
      <alignment horizontal="left"/>
    </xf>
    <xf numFmtId="179" fontId="49" fillId="11" borderId="38" xfId="1" applyNumberFormat="1" applyFont="1" applyFill="1" applyBorder="1" applyAlignment="1" applyProtection="1">
      <alignment horizontal="center"/>
    </xf>
    <xf numFmtId="0" fontId="0" fillId="11" borderId="23" xfId="0" applyFill="1" applyBorder="1" applyAlignment="1">
      <alignment horizontal="center"/>
    </xf>
    <xf numFmtId="0" fontId="0" fillId="11" borderId="24" xfId="0" applyFill="1" applyBorder="1" applyAlignment="1">
      <alignment horizontal="center"/>
    </xf>
    <xf numFmtId="0" fontId="107" fillId="13" borderId="0" xfId="0" applyFont="1" applyFill="1" applyAlignment="1">
      <alignment horizontal="left" vertical="center"/>
    </xf>
    <xf numFmtId="0" fontId="107" fillId="25" borderId="0" xfId="0" applyFont="1" applyFill="1" applyAlignment="1">
      <alignment horizontal="left" vertical="center"/>
    </xf>
    <xf numFmtId="0" fontId="0" fillId="25" borderId="0" xfId="0" applyFill="1" applyAlignment="1">
      <alignment vertical="top"/>
    </xf>
    <xf numFmtId="0" fontId="0" fillId="26" borderId="0" xfId="0" applyFill="1" applyAlignment="1">
      <alignment vertical="top"/>
    </xf>
    <xf numFmtId="49" fontId="0" fillId="0" borderId="0" xfId="0" applyNumberFormat="1"/>
    <xf numFmtId="177" fontId="0" fillId="0" borderId="0" xfId="0" applyNumberFormat="1"/>
    <xf numFmtId="1" fontId="0" fillId="0" borderId="0" xfId="0" applyNumberFormat="1" applyAlignment="1">
      <alignment vertical="top"/>
    </xf>
    <xf numFmtId="2" fontId="0" fillId="0" borderId="0" xfId="0" applyNumberFormat="1" applyAlignment="1">
      <alignment vertical="top"/>
    </xf>
    <xf numFmtId="44" fontId="68" fillId="2" borderId="42" xfId="7" applyFont="1" applyFill="1" applyBorder="1" applyAlignment="1" applyProtection="1">
      <alignment vertical="center"/>
      <protection locked="0"/>
    </xf>
    <xf numFmtId="44" fontId="68" fillId="2" borderId="36" xfId="7" applyFont="1" applyFill="1" applyBorder="1" applyAlignment="1" applyProtection="1">
      <alignment vertical="center"/>
      <protection locked="0"/>
    </xf>
    <xf numFmtId="44" fontId="68" fillId="2" borderId="9" xfId="7" applyFont="1" applyFill="1" applyBorder="1" applyAlignment="1" applyProtection="1">
      <alignment vertical="center"/>
      <protection locked="0"/>
    </xf>
    <xf numFmtId="0" fontId="28" fillId="0" borderId="17" xfId="0" applyFont="1" applyBorder="1" applyAlignment="1">
      <alignment horizontal="left" indent="1"/>
    </xf>
    <xf numFmtId="0" fontId="24" fillId="11" borderId="2" xfId="0" applyFont="1" applyFill="1" applyBorder="1" applyAlignment="1">
      <alignment horizontal="left" vertical="center" indent="1"/>
    </xf>
    <xf numFmtId="49" fontId="4" fillId="2" borderId="42" xfId="13" applyNumberFormat="1" applyFont="1" applyFill="1" applyBorder="1" applyAlignment="1" applyProtection="1">
      <alignment horizontal="center"/>
      <protection locked="0"/>
    </xf>
    <xf numFmtId="49" fontId="4" fillId="2" borderId="90" xfId="13" applyNumberFormat="1" applyFont="1" applyFill="1" applyBorder="1" applyAlignment="1" applyProtection="1">
      <alignment horizontal="center"/>
      <protection locked="0"/>
    </xf>
    <xf numFmtId="49" fontId="4" fillId="2" borderId="61" xfId="13" applyNumberFormat="1" applyFont="1" applyFill="1" applyBorder="1" applyAlignment="1" applyProtection="1">
      <alignment horizontal="center"/>
      <protection locked="0"/>
    </xf>
    <xf numFmtId="44" fontId="10" fillId="2" borderId="1" xfId="7" applyFont="1" applyFill="1" applyBorder="1" applyProtection="1">
      <protection locked="0"/>
    </xf>
    <xf numFmtId="0" fontId="76" fillId="14" borderId="74" xfId="7" applyNumberFormat="1" applyFont="1" applyFill="1" applyBorder="1" applyAlignment="1" applyProtection="1">
      <alignment vertical="top" wrapText="1"/>
    </xf>
    <xf numFmtId="0" fontId="38" fillId="0" borderId="0" xfId="0" applyFont="1" applyAlignment="1">
      <alignment horizontal="left" vertical="center"/>
    </xf>
    <xf numFmtId="164" fontId="38" fillId="0" borderId="0" xfId="0" applyNumberFormat="1" applyFont="1" applyAlignment="1">
      <alignment horizontal="center" vertical="center"/>
    </xf>
    <xf numFmtId="0" fontId="0" fillId="0" borderId="31" xfId="0" applyBorder="1"/>
    <xf numFmtId="0" fontId="0" fillId="0" borderId="12" xfId="0" applyBorder="1"/>
    <xf numFmtId="0" fontId="0" fillId="0" borderId="10" xfId="0" applyBorder="1"/>
    <xf numFmtId="164" fontId="10" fillId="0" borderId="6" xfId="7" applyNumberFormat="1" applyFont="1" applyBorder="1" applyProtection="1"/>
    <xf numFmtId="164" fontId="29" fillId="0" borderId="1" xfId="7" applyNumberFormat="1" applyFont="1" applyBorder="1" applyProtection="1"/>
    <xf numFmtId="164" fontId="29" fillId="0" borderId="3" xfId="7" applyNumberFormat="1" applyFont="1" applyBorder="1" applyProtection="1"/>
    <xf numFmtId="164" fontId="24" fillId="11" borderId="1" xfId="0" applyNumberFormat="1" applyFont="1" applyFill="1" applyBorder="1"/>
    <xf numFmtId="164" fontId="29" fillId="11" borderId="1" xfId="0" applyNumberFormat="1" applyFont="1" applyFill="1" applyBorder="1"/>
    <xf numFmtId="0" fontId="4" fillId="12" borderId="75" xfId="7" applyNumberFormat="1" applyFont="1" applyFill="1" applyBorder="1" applyAlignment="1" applyProtection="1">
      <alignment horizontal="left" vertical="top"/>
    </xf>
    <xf numFmtId="1" fontId="4" fillId="23" borderId="75" xfId="7" applyNumberFormat="1" applyFont="1" applyFill="1" applyBorder="1" applyAlignment="1" applyProtection="1">
      <alignment horizontal="left" vertical="top"/>
    </xf>
    <xf numFmtId="49" fontId="9" fillId="2" borderId="1" xfId="5" applyNumberFormat="1" applyFill="1" applyBorder="1" applyAlignment="1" applyProtection="1">
      <alignment vertical="center"/>
      <protection locked="0"/>
    </xf>
    <xf numFmtId="169" fontId="10" fillId="0" borderId="0" xfId="0" applyNumberFormat="1" applyFont="1"/>
    <xf numFmtId="170" fontId="10" fillId="0" borderId="0" xfId="0" applyNumberFormat="1" applyFont="1"/>
    <xf numFmtId="44" fontId="0" fillId="12" borderId="0" xfId="0" applyNumberFormat="1" applyFill="1"/>
    <xf numFmtId="0" fontId="132" fillId="0" borderId="0" xfId="12" applyFont="1" applyFill="1" applyBorder="1" applyAlignment="1" applyProtection="1">
      <alignment horizontal="left" vertical="center"/>
    </xf>
    <xf numFmtId="0" fontId="133" fillId="0" borderId="0" xfId="0" applyFont="1" applyAlignment="1">
      <alignment horizontal="left" vertical="center"/>
    </xf>
    <xf numFmtId="0" fontId="3" fillId="13" borderId="1" xfId="0" applyFont="1" applyFill="1" applyBorder="1" applyAlignment="1">
      <alignment horizontal="left" vertical="center"/>
    </xf>
    <xf numFmtId="0" fontId="32" fillId="0" borderId="0" xfId="12" applyFont="1" applyFill="1" applyBorder="1" applyAlignment="1" applyProtection="1">
      <alignment horizontal="left" vertical="center"/>
    </xf>
    <xf numFmtId="0" fontId="0" fillId="0" borderId="0" xfId="0" applyAlignment="1">
      <alignment horizontal="left" vertical="center"/>
    </xf>
    <xf numFmtId="0" fontId="134" fillId="0" borderId="0" xfId="0" applyFont="1"/>
    <xf numFmtId="0" fontId="0" fillId="13" borderId="38" xfId="0" applyFill="1" applyBorder="1" applyAlignment="1">
      <alignment horizontal="center" vertical="center"/>
    </xf>
    <xf numFmtId="0" fontId="0" fillId="13" borderId="18" xfId="0" applyFill="1" applyBorder="1" applyAlignment="1">
      <alignment horizontal="center" vertical="center"/>
    </xf>
    <xf numFmtId="0" fontId="36" fillId="0" borderId="0" xfId="0" applyFont="1"/>
    <xf numFmtId="1" fontId="127" fillId="0" borderId="38" xfId="7" applyNumberFormat="1" applyFont="1" applyFill="1" applyBorder="1" applyAlignment="1" applyProtection="1">
      <alignment horizontal="center" vertical="center"/>
      <protection locked="0"/>
    </xf>
    <xf numFmtId="0" fontId="24" fillId="0" borderId="28" xfId="0" applyFont="1" applyBorder="1"/>
    <xf numFmtId="0" fontId="0" fillId="0" borderId="29" xfId="0" applyBorder="1"/>
    <xf numFmtId="0" fontId="0" fillId="0" borderId="29" xfId="0" applyBorder="1" applyAlignment="1">
      <alignment wrapText="1"/>
    </xf>
    <xf numFmtId="0" fontId="0" fillId="0" borderId="30" xfId="0" applyBorder="1"/>
    <xf numFmtId="0" fontId="36" fillId="0" borderId="13" xfId="0" applyFont="1" applyBorder="1"/>
    <xf numFmtId="0" fontId="0" fillId="0" borderId="10" xfId="0" applyBorder="1" applyAlignment="1">
      <alignment wrapText="1"/>
    </xf>
    <xf numFmtId="0" fontId="0" fillId="0" borderId="11" xfId="0" applyBorder="1"/>
    <xf numFmtId="0" fontId="28" fillId="2" borderId="1" xfId="2" applyNumberFormat="1" applyFont="1" applyFill="1" applyBorder="1" applyAlignment="1" applyProtection="1">
      <alignment horizontal="center" vertical="center"/>
      <protection locked="0"/>
    </xf>
    <xf numFmtId="2" fontId="0" fillId="12" borderId="0" xfId="0" applyNumberFormat="1" applyFill="1" applyAlignment="1">
      <alignment vertical="top"/>
    </xf>
    <xf numFmtId="181" fontId="0" fillId="0" borderId="0" xfId="0" applyNumberFormat="1" applyAlignment="1">
      <alignment vertical="top"/>
    </xf>
    <xf numFmtId="14" fontId="0" fillId="0" borderId="0" xfId="0" applyNumberFormat="1" applyAlignment="1">
      <alignment vertical="top"/>
    </xf>
    <xf numFmtId="0" fontId="43" fillId="11" borderId="0" xfId="0" applyFont="1" applyFill="1" applyAlignment="1">
      <alignment vertical="top"/>
    </xf>
    <xf numFmtId="0" fontId="24" fillId="11" borderId="0" xfId="0" applyFont="1" applyFill="1" applyAlignment="1">
      <alignment vertical="top"/>
    </xf>
    <xf numFmtId="1" fontId="4" fillId="2" borderId="1" xfId="0" applyNumberFormat="1" applyFont="1" applyFill="1" applyBorder="1" applyAlignment="1" applyProtection="1">
      <alignment horizontal="center" vertical="center" wrapText="1"/>
      <protection locked="0"/>
    </xf>
    <xf numFmtId="1" fontId="28" fillId="2" borderId="1" xfId="0" applyNumberFormat="1" applyFont="1" applyFill="1" applyBorder="1" applyAlignment="1" applyProtection="1">
      <alignment horizontal="center" vertical="center" wrapText="1"/>
      <protection locked="0"/>
    </xf>
    <xf numFmtId="1" fontId="4" fillId="2" borderId="2" xfId="13" applyNumberFormat="1" applyFont="1" applyFill="1" applyBorder="1" applyAlignment="1" applyProtection="1">
      <alignment horizontal="center"/>
    </xf>
    <xf numFmtId="1" fontId="4" fillId="2" borderId="80" xfId="13" applyNumberFormat="1" applyFont="1" applyFill="1" applyBorder="1" applyAlignment="1" applyProtection="1">
      <alignment horizontal="center"/>
    </xf>
    <xf numFmtId="49" fontId="4" fillId="2" borderId="2" xfId="13" applyNumberFormat="1" applyFont="1" applyFill="1" applyBorder="1" applyAlignment="1" applyProtection="1">
      <alignment horizontal="center"/>
    </xf>
    <xf numFmtId="175" fontId="4" fillId="2" borderId="2" xfId="13" applyNumberFormat="1" applyFont="1" applyFill="1" applyBorder="1" applyAlignment="1" applyProtection="1">
      <alignment horizontal="center"/>
    </xf>
    <xf numFmtId="49" fontId="4" fillId="2" borderId="42" xfId="13" applyNumberFormat="1" applyFont="1" applyFill="1" applyBorder="1" applyAlignment="1" applyProtection="1">
      <alignment horizontal="center"/>
    </xf>
    <xf numFmtId="49" fontId="4" fillId="2" borderId="90" xfId="13" applyNumberFormat="1" applyFont="1" applyFill="1" applyBorder="1" applyAlignment="1" applyProtection="1">
      <alignment horizontal="center"/>
    </xf>
    <xf numFmtId="49" fontId="4" fillId="2" borderId="61" xfId="13" applyNumberFormat="1" applyFont="1" applyFill="1" applyBorder="1" applyAlignment="1" applyProtection="1">
      <alignment horizontal="center"/>
    </xf>
    <xf numFmtId="164" fontId="28" fillId="0" borderId="62" xfId="0" applyNumberFormat="1" applyFont="1" applyBorder="1"/>
    <xf numFmtId="49" fontId="28" fillId="0" borderId="0" xfId="0" applyNumberFormat="1" applyFont="1"/>
    <xf numFmtId="0" fontId="28" fillId="0" borderId="18" xfId="0" applyFont="1" applyBorder="1" applyAlignment="1">
      <alignment horizontal="left" indent="1"/>
    </xf>
    <xf numFmtId="0" fontId="10" fillId="0" borderId="18" xfId="0" applyFont="1" applyBorder="1" applyAlignment="1">
      <alignment horizontal="left" indent="1"/>
    </xf>
    <xf numFmtId="0" fontId="28" fillId="0" borderId="22" xfId="0" applyFont="1" applyBorder="1" applyAlignment="1">
      <alignment horizontal="left" indent="1"/>
    </xf>
    <xf numFmtId="170" fontId="10" fillId="11" borderId="0" xfId="0" applyNumberFormat="1" applyFont="1" applyFill="1"/>
    <xf numFmtId="44" fontId="10" fillId="11" borderId="0" xfId="0" applyNumberFormat="1" applyFont="1" applyFill="1"/>
    <xf numFmtId="3" fontId="30" fillId="11" borderId="0" xfId="0" applyNumberFormat="1" applyFont="1" applyFill="1"/>
    <xf numFmtId="164" fontId="28" fillId="0" borderId="69" xfId="0" applyNumberFormat="1" applyFont="1" applyBorder="1" applyProtection="1">
      <protection locked="0"/>
    </xf>
    <xf numFmtId="164" fontId="28" fillId="0" borderId="54" xfId="0" applyNumberFormat="1" applyFont="1" applyBorder="1" applyProtection="1">
      <protection locked="0"/>
    </xf>
    <xf numFmtId="164" fontId="28" fillId="0" borderId="53" xfId="0" applyNumberFormat="1" applyFont="1" applyBorder="1" applyProtection="1">
      <protection locked="0"/>
    </xf>
    <xf numFmtId="164" fontId="28" fillId="0" borderId="36" xfId="0" applyNumberFormat="1" applyFont="1" applyBorder="1" applyProtection="1">
      <protection locked="0"/>
    </xf>
    <xf numFmtId="164" fontId="28" fillId="13" borderId="36" xfId="0" applyNumberFormat="1" applyFont="1" applyFill="1" applyBorder="1" applyProtection="1">
      <protection locked="0"/>
    </xf>
    <xf numFmtId="0" fontId="123" fillId="29" borderId="23" xfId="12" applyFont="1" applyFill="1" applyBorder="1" applyAlignment="1" applyProtection="1">
      <alignment horizontal="left"/>
    </xf>
    <xf numFmtId="0" fontId="31" fillId="3" borderId="38" xfId="0" applyFont="1" applyFill="1" applyBorder="1" applyAlignment="1">
      <alignment horizontal="left" vertical="center" wrapText="1"/>
    </xf>
    <xf numFmtId="1" fontId="28" fillId="2" borderId="1" xfId="2" applyNumberFormat="1" applyFont="1" applyFill="1" applyBorder="1" applyAlignment="1" applyProtection="1">
      <alignment horizontal="center" vertical="center"/>
      <protection locked="0"/>
    </xf>
    <xf numFmtId="0" fontId="32" fillId="0" borderId="15" xfId="0" applyFont="1" applyBorder="1"/>
    <xf numFmtId="174" fontId="29" fillId="11" borderId="0" xfId="0" applyNumberFormat="1" applyFont="1" applyFill="1" applyProtection="1">
      <protection locked="0"/>
    </xf>
    <xf numFmtId="0" fontId="30" fillId="11" borderId="15" xfId="0" applyFont="1" applyFill="1" applyBorder="1" applyAlignment="1">
      <alignment horizontal="left" indent="1"/>
    </xf>
    <xf numFmtId="10" fontId="0" fillId="0" borderId="0" xfId="0" applyNumberFormat="1"/>
    <xf numFmtId="49" fontId="10" fillId="0" borderId="21" xfId="0" applyNumberFormat="1" applyFont="1" applyBorder="1"/>
    <xf numFmtId="174" fontId="24" fillId="0" borderId="0" xfId="0" applyNumberFormat="1" applyFont="1"/>
    <xf numFmtId="0" fontId="60" fillId="19" borderId="2" xfId="0" applyFont="1" applyFill="1" applyBorder="1" applyAlignment="1">
      <alignment horizontal="center"/>
    </xf>
    <xf numFmtId="174" fontId="32" fillId="0" borderId="2" xfId="0" applyNumberFormat="1" applyFont="1" applyBorder="1"/>
    <xf numFmtId="174" fontId="29" fillId="0" borderId="2" xfId="0" applyNumberFormat="1" applyFont="1" applyBorder="1"/>
    <xf numFmtId="174" fontId="24" fillId="15" borderId="2" xfId="0" applyNumberFormat="1" applyFont="1" applyFill="1" applyBorder="1"/>
    <xf numFmtId="49" fontId="60" fillId="19" borderId="16" xfId="0" applyNumberFormat="1" applyFont="1" applyFill="1" applyBorder="1" applyAlignment="1">
      <alignment horizontal="center"/>
    </xf>
    <xf numFmtId="174" fontId="32" fillId="2" borderId="36" xfId="0" applyNumberFormat="1" applyFont="1" applyFill="1" applyBorder="1" applyProtection="1">
      <protection locked="0"/>
    </xf>
    <xf numFmtId="174" fontId="29" fillId="2" borderId="36" xfId="0" applyNumberFormat="1" applyFont="1" applyFill="1" applyBorder="1" applyProtection="1">
      <protection locked="0"/>
    </xf>
    <xf numFmtId="174" fontId="32" fillId="0" borderId="36" xfId="0" applyNumberFormat="1" applyFont="1" applyBorder="1"/>
    <xf numFmtId="49" fontId="60" fillId="19" borderId="36" xfId="0" applyNumberFormat="1" applyFont="1" applyFill="1" applyBorder="1" applyAlignment="1">
      <alignment horizontal="center"/>
    </xf>
    <xf numFmtId="174" fontId="24" fillId="15" borderId="55" xfId="0" applyNumberFormat="1" applyFont="1" applyFill="1" applyBorder="1"/>
    <xf numFmtId="49" fontId="60" fillId="19" borderId="54" xfId="0" applyNumberFormat="1" applyFont="1" applyFill="1" applyBorder="1" applyAlignment="1">
      <alignment horizontal="center"/>
    </xf>
    <xf numFmtId="174" fontId="29" fillId="2" borderId="55" xfId="0" applyNumberFormat="1" applyFont="1" applyFill="1" applyBorder="1" applyProtection="1">
      <protection locked="0"/>
    </xf>
    <xf numFmtId="174" fontId="32" fillId="15" borderId="2" xfId="0" applyNumberFormat="1" applyFont="1" applyFill="1" applyBorder="1"/>
    <xf numFmtId="174" fontId="32" fillId="0" borderId="55" xfId="0" applyNumberFormat="1" applyFont="1" applyBorder="1"/>
    <xf numFmtId="174" fontId="32" fillId="2" borderId="55" xfId="0" applyNumberFormat="1" applyFont="1" applyFill="1" applyBorder="1" applyProtection="1">
      <protection locked="0"/>
    </xf>
    <xf numFmtId="0" fontId="124" fillId="30" borderId="43" xfId="0" applyFont="1" applyFill="1" applyBorder="1" applyAlignment="1">
      <alignment horizontal="center" vertical="center" wrapText="1"/>
    </xf>
    <xf numFmtId="0" fontId="127" fillId="0" borderId="43" xfId="0" applyFont="1" applyBorder="1" applyAlignment="1">
      <alignment vertical="center" wrapText="1"/>
    </xf>
    <xf numFmtId="1" fontId="127" fillId="0" borderId="38" xfId="0" applyNumberFormat="1" applyFont="1" applyBorder="1" applyAlignment="1" applyProtection="1">
      <alignment horizontal="center" vertical="center"/>
      <protection locked="0"/>
    </xf>
    <xf numFmtId="0" fontId="136" fillId="29" borderId="91" xfId="12" applyFont="1" applyFill="1" applyBorder="1" applyAlignment="1" applyProtection="1">
      <alignment horizontal="left"/>
    </xf>
    <xf numFmtId="0" fontId="136" fillId="29" borderId="23" xfId="12" applyFont="1" applyFill="1" applyBorder="1" applyAlignment="1" applyProtection="1">
      <alignment horizontal="left"/>
    </xf>
    <xf numFmtId="49" fontId="136" fillId="29" borderId="38" xfId="12" applyNumberFormat="1" applyFont="1" applyFill="1" applyBorder="1" applyAlignment="1" applyProtection="1">
      <alignment horizontal="left"/>
    </xf>
    <xf numFmtId="49" fontId="136" fillId="29" borderId="18" xfId="12" applyNumberFormat="1" applyFont="1" applyFill="1" applyBorder="1" applyAlignment="1" applyProtection="1">
      <alignment horizontal="left"/>
    </xf>
    <xf numFmtId="44" fontId="4" fillId="31" borderId="77" xfId="7" applyFont="1" applyFill="1" applyBorder="1" applyAlignment="1" applyProtection="1">
      <alignment vertical="top"/>
    </xf>
    <xf numFmtId="44" fontId="4" fillId="31" borderId="77" xfId="7" applyFont="1" applyFill="1" applyBorder="1" applyAlignment="1" applyProtection="1">
      <alignment vertical="center"/>
    </xf>
    <xf numFmtId="9" fontId="2" fillId="0" borderId="0" xfId="1" quotePrefix="1" applyFont="1" applyFill="1" applyAlignment="1" applyProtection="1">
      <alignment horizontal="left" vertical="top"/>
    </xf>
    <xf numFmtId="166" fontId="24" fillId="32" borderId="1" xfId="0" applyNumberFormat="1" applyFont="1" applyFill="1" applyBorder="1"/>
    <xf numFmtId="44" fontId="97" fillId="0" borderId="0" xfId="1" quotePrefix="1" applyNumberFormat="1" applyFont="1" applyProtection="1"/>
    <xf numFmtId="169" fontId="29" fillId="0" borderId="2" xfId="0" applyNumberFormat="1" applyFont="1" applyBorder="1"/>
    <xf numFmtId="0" fontId="0" fillId="0" borderId="17" xfId="0" applyBorder="1"/>
    <xf numFmtId="169" fontId="29" fillId="0" borderId="36" xfId="0" applyNumberFormat="1" applyFont="1" applyBorder="1"/>
    <xf numFmtId="174" fontId="32" fillId="15" borderId="55" xfId="0" applyNumberFormat="1" applyFont="1" applyFill="1" applyBorder="1"/>
    <xf numFmtId="174" fontId="24" fillId="15" borderId="18" xfId="0" applyNumberFormat="1" applyFont="1" applyFill="1" applyBorder="1"/>
    <xf numFmtId="0" fontId="60" fillId="19" borderId="54" xfId="0" applyFont="1" applyFill="1" applyBorder="1" applyAlignment="1">
      <alignment horizontal="center"/>
    </xf>
    <xf numFmtId="44" fontId="4" fillId="9" borderId="75" xfId="7" applyFont="1" applyFill="1" applyBorder="1" applyAlignment="1" applyProtection="1">
      <alignment horizontal="left" vertical="center"/>
    </xf>
    <xf numFmtId="44" fontId="4" fillId="9" borderId="77" xfId="7" applyFont="1" applyFill="1" applyBorder="1" applyAlignment="1" applyProtection="1">
      <alignment horizontal="left" vertical="center"/>
    </xf>
    <xf numFmtId="1" fontId="28" fillId="2" borderId="1" xfId="7" applyNumberFormat="1" applyFont="1" applyFill="1" applyBorder="1" applyAlignment="1" applyProtection="1">
      <alignment horizontal="left" vertical="center"/>
      <protection locked="0"/>
    </xf>
    <xf numFmtId="176" fontId="28" fillId="2" borderId="1" xfId="7" applyNumberFormat="1" applyFont="1" applyFill="1" applyBorder="1" applyAlignment="1" applyProtection="1">
      <alignment horizontal="left" vertical="center"/>
      <protection locked="0"/>
    </xf>
    <xf numFmtId="44" fontId="127" fillId="0" borderId="38" xfId="7" applyFont="1" applyBorder="1" applyAlignment="1" applyProtection="1">
      <alignment horizontal="center" vertical="center"/>
      <protection locked="0"/>
    </xf>
    <xf numFmtId="44" fontId="127" fillId="0" borderId="38" xfId="7" applyFont="1" applyFill="1" applyBorder="1" applyAlignment="1" applyProtection="1">
      <alignment horizontal="center" vertical="center"/>
      <protection locked="0"/>
    </xf>
    <xf numFmtId="0" fontId="136" fillId="29" borderId="38" xfId="12" applyFont="1" applyFill="1" applyBorder="1" applyAlignment="1" applyProtection="1">
      <alignment horizontal="left"/>
    </xf>
    <xf numFmtId="0" fontId="136" fillId="29" borderId="18" xfId="12" applyFont="1" applyFill="1" applyBorder="1" applyAlignment="1" applyProtection="1">
      <alignment horizontal="left"/>
    </xf>
    <xf numFmtId="164" fontId="28" fillId="0" borderId="55" xfId="0" applyNumberFormat="1" applyFont="1" applyBorder="1"/>
    <xf numFmtId="0" fontId="58" fillId="26" borderId="1" xfId="0" applyFont="1" applyFill="1" applyBorder="1" applyAlignment="1">
      <alignment horizontal="center" vertical="center"/>
    </xf>
    <xf numFmtId="0" fontId="58" fillId="26" borderId="1" xfId="0" applyFont="1" applyFill="1" applyBorder="1" applyAlignment="1">
      <alignment horizontal="center" vertical="center" wrapText="1"/>
    </xf>
    <xf numFmtId="0" fontId="58" fillId="27" borderId="1" xfId="0" applyFont="1" applyFill="1" applyBorder="1" applyAlignment="1">
      <alignment horizontal="center" vertical="center" wrapText="1"/>
    </xf>
    <xf numFmtId="0" fontId="4" fillId="2" borderId="1" xfId="2" applyNumberFormat="1" applyFont="1" applyFill="1" applyBorder="1" applyAlignment="1" applyProtection="1">
      <alignment horizontal="center" vertical="center"/>
      <protection locked="0"/>
    </xf>
    <xf numFmtId="2" fontId="0" fillId="33" borderId="0" xfId="0" applyNumberFormat="1" applyFill="1" applyAlignment="1">
      <alignment vertical="top"/>
    </xf>
    <xf numFmtId="9" fontId="101" fillId="0" borderId="0" xfId="1" quotePrefix="1" applyFont="1" applyFill="1" applyAlignment="1" applyProtection="1">
      <alignment horizontal="left" vertical="top"/>
    </xf>
    <xf numFmtId="44" fontId="101" fillId="0" borderId="0" xfId="1" quotePrefix="1" applyNumberFormat="1" applyFont="1" applyFill="1" applyAlignment="1" applyProtection="1">
      <alignment horizontal="left" vertical="top"/>
    </xf>
    <xf numFmtId="9" fontId="102" fillId="0" borderId="0" xfId="1" quotePrefix="1" applyFont="1" applyFill="1" applyAlignment="1" applyProtection="1">
      <alignment horizontal="left" vertical="top"/>
    </xf>
    <xf numFmtId="43" fontId="0" fillId="0" borderId="0" xfId="0" applyNumberFormat="1"/>
    <xf numFmtId="44" fontId="0" fillId="2" borderId="1" xfId="0" applyNumberFormat="1" applyFill="1" applyBorder="1" applyAlignment="1" applyProtection="1">
      <alignment vertical="center" wrapText="1"/>
      <protection locked="0"/>
    </xf>
    <xf numFmtId="1" fontId="0" fillId="13" borderId="1" xfId="0" applyNumberFormat="1" applyFill="1" applyBorder="1" applyAlignment="1">
      <alignment horizontal="left" vertical="center"/>
    </xf>
    <xf numFmtId="0" fontId="10" fillId="0" borderId="2" xfId="0" applyFont="1" applyBorder="1" applyAlignment="1">
      <alignment horizontal="left" vertical="center"/>
    </xf>
    <xf numFmtId="9" fontId="103" fillId="0" borderId="0" xfId="1" quotePrefix="1" applyFont="1" applyFill="1" applyAlignment="1" applyProtection="1">
      <alignment horizontal="left" vertical="top"/>
    </xf>
    <xf numFmtId="9" fontId="102" fillId="0" borderId="0" xfId="1" applyFont="1" applyFill="1" applyAlignment="1" applyProtection="1">
      <alignment horizontal="left" vertical="top"/>
    </xf>
    <xf numFmtId="9" fontId="104" fillId="0" borderId="0" xfId="1" applyFont="1" applyFill="1" applyAlignment="1" applyProtection="1">
      <alignment horizontal="left" vertical="top"/>
    </xf>
    <xf numFmtId="0" fontId="47" fillId="0" borderId="0" xfId="0" applyFont="1" applyAlignment="1">
      <alignment horizontal="center" vertical="center"/>
    </xf>
    <xf numFmtId="0" fontId="38" fillId="5" borderId="2" xfId="0" applyFont="1" applyFill="1" applyBorder="1" applyAlignment="1">
      <alignment vertical="center" wrapText="1"/>
    </xf>
    <xf numFmtId="0" fontId="4" fillId="2" borderId="36" xfId="13" applyNumberFormat="1" applyFont="1" applyFill="1" applyBorder="1" applyAlignment="1" applyProtection="1">
      <alignment horizontal="center"/>
      <protection locked="0"/>
    </xf>
    <xf numFmtId="0" fontId="24" fillId="4" borderId="36" xfId="0" applyFont="1" applyFill="1" applyBorder="1" applyAlignment="1">
      <alignment horizontal="center" vertical="center" wrapText="1"/>
    </xf>
    <xf numFmtId="180" fontId="1" fillId="2" borderId="36" xfId="0" applyNumberFormat="1" applyFont="1" applyFill="1" applyBorder="1" applyAlignment="1" applyProtection="1">
      <alignment horizontal="center" vertical="center"/>
      <protection locked="0"/>
    </xf>
    <xf numFmtId="164" fontId="1" fillId="2" borderId="36" xfId="0" applyNumberFormat="1" applyFont="1" applyFill="1" applyBorder="1" applyAlignment="1" applyProtection="1">
      <alignment horizontal="center" vertical="center"/>
      <protection locked="0"/>
    </xf>
    <xf numFmtId="164" fontId="39" fillId="5" borderId="36" xfId="0" applyNumberFormat="1" applyFont="1" applyFill="1" applyBorder="1" applyAlignment="1">
      <alignment horizontal="center" vertical="center"/>
    </xf>
    <xf numFmtId="164" fontId="24" fillId="5" borderId="36" xfId="0" applyNumberFormat="1" applyFont="1" applyFill="1" applyBorder="1" applyAlignment="1">
      <alignment horizontal="center" vertical="center"/>
    </xf>
    <xf numFmtId="164" fontId="38" fillId="5" borderId="55" xfId="0" applyNumberFormat="1" applyFont="1" applyFill="1" applyBorder="1" applyAlignment="1">
      <alignment horizontal="center" vertical="center"/>
    </xf>
    <xf numFmtId="0" fontId="136" fillId="29" borderId="94" xfId="12" applyFont="1" applyFill="1" applyBorder="1" applyAlignment="1" applyProtection="1">
      <alignment horizontal="left"/>
    </xf>
    <xf numFmtId="0" fontId="136" fillId="29" borderId="95" xfId="12" applyFont="1" applyFill="1" applyBorder="1" applyAlignment="1" applyProtection="1">
      <alignment horizontal="left"/>
    </xf>
    <xf numFmtId="0" fontId="136" fillId="0" borderId="0" xfId="12" applyFont="1" applyFill="1" applyBorder="1" applyAlignment="1" applyProtection="1">
      <alignment horizontal="left"/>
    </xf>
    <xf numFmtId="0" fontId="123" fillId="0" borderId="0" xfId="12" applyFont="1" applyFill="1" applyBorder="1" applyAlignment="1" applyProtection="1"/>
    <xf numFmtId="180" fontId="1" fillId="2" borderId="36" xfId="0" applyNumberFormat="1" applyFont="1" applyFill="1" applyBorder="1" applyAlignment="1">
      <alignment horizontal="center" vertical="center"/>
    </xf>
    <xf numFmtId="0" fontId="37" fillId="0" borderId="16" xfId="0" applyFont="1" applyBorder="1" applyAlignment="1">
      <alignment horizontal="center" vertical="center"/>
    </xf>
    <xf numFmtId="174" fontId="30" fillId="0" borderId="17" xfId="0" applyNumberFormat="1" applyFont="1" applyBorder="1"/>
    <xf numFmtId="0" fontId="111" fillId="3" borderId="25" xfId="12" applyFont="1" applyFill="1" applyBorder="1" applyAlignment="1" applyProtection="1">
      <alignment horizontal="center"/>
    </xf>
    <xf numFmtId="0" fontId="111" fillId="3" borderId="26" xfId="12" applyFont="1" applyFill="1" applyBorder="1" applyAlignment="1" applyProtection="1">
      <alignment horizontal="center"/>
    </xf>
    <xf numFmtId="0" fontId="111" fillId="3" borderId="27" xfId="12" applyFont="1" applyFill="1" applyBorder="1" applyAlignment="1" applyProtection="1">
      <alignment horizontal="center"/>
    </xf>
    <xf numFmtId="0" fontId="111" fillId="3" borderId="22" xfId="12" applyFont="1" applyFill="1" applyBorder="1" applyAlignment="1" applyProtection="1">
      <alignment horizontal="center"/>
    </xf>
    <xf numFmtId="0" fontId="111" fillId="3" borderId="23" xfId="12" applyFont="1" applyFill="1" applyBorder="1" applyAlignment="1" applyProtection="1">
      <alignment horizontal="center"/>
    </xf>
    <xf numFmtId="0" fontId="111" fillId="3" borderId="24" xfId="12" applyFont="1" applyFill="1" applyBorder="1" applyAlignment="1" applyProtection="1">
      <alignment horizontal="center"/>
    </xf>
    <xf numFmtId="0" fontId="11" fillId="0" borderId="2" xfId="0" applyFont="1" applyBorder="1" applyAlignment="1">
      <alignment vertical="center" wrapText="1"/>
    </xf>
    <xf numFmtId="0" fontId="11" fillId="0" borderId="9" xfId="0" applyFont="1" applyBorder="1" applyAlignment="1">
      <alignment vertical="center" wrapText="1"/>
    </xf>
    <xf numFmtId="0" fontId="11" fillId="0" borderId="3" xfId="0" applyFont="1" applyBorder="1" applyAlignment="1">
      <alignment vertical="center" wrapText="1"/>
    </xf>
    <xf numFmtId="0" fontId="43" fillId="3" borderId="1" xfId="0" applyFont="1" applyFill="1" applyBorder="1" applyAlignment="1">
      <alignment horizontal="center" vertical="center" wrapText="1"/>
    </xf>
    <xf numFmtId="0" fontId="31" fillId="3" borderId="43" xfId="0" applyFont="1" applyFill="1" applyBorder="1" applyAlignment="1">
      <alignment horizontal="left" vertical="center"/>
    </xf>
    <xf numFmtId="0" fontId="31" fillId="3" borderId="33" xfId="0" applyFont="1" applyFill="1" applyBorder="1" applyAlignment="1">
      <alignment horizontal="left" vertical="center"/>
    </xf>
    <xf numFmtId="0" fontId="31" fillId="3" borderId="34" xfId="0" applyFont="1" applyFill="1" applyBorder="1" applyAlignment="1">
      <alignment horizontal="left" vertical="center"/>
    </xf>
    <xf numFmtId="0" fontId="31" fillId="3" borderId="25" xfId="0" applyFont="1" applyFill="1" applyBorder="1" applyAlignment="1">
      <alignment horizontal="center" vertical="center"/>
    </xf>
    <xf numFmtId="0" fontId="31" fillId="3" borderId="26" xfId="0" applyFont="1" applyFill="1" applyBorder="1" applyAlignment="1">
      <alignment horizontal="center" vertical="center"/>
    </xf>
    <xf numFmtId="0" fontId="31" fillId="3" borderId="27" xfId="0" applyFont="1" applyFill="1" applyBorder="1" applyAlignment="1">
      <alignment horizontal="center" vertical="center"/>
    </xf>
    <xf numFmtId="0" fontId="28" fillId="10" borderId="25" xfId="7" applyNumberFormat="1" applyFont="1" applyFill="1" applyBorder="1" applyAlignment="1" applyProtection="1">
      <alignment horizontal="left" vertical="center"/>
    </xf>
    <xf numFmtId="0" fontId="28" fillId="10" borderId="27" xfId="7" applyNumberFormat="1" applyFont="1" applyFill="1" applyBorder="1" applyAlignment="1" applyProtection="1">
      <alignment horizontal="left" vertical="center"/>
    </xf>
    <xf numFmtId="0" fontId="28" fillId="2" borderId="15" xfId="7" applyNumberFormat="1" applyFont="1" applyFill="1" applyBorder="1" applyAlignment="1" applyProtection="1">
      <alignment vertical="center" wrapText="1"/>
    </xf>
    <xf numFmtId="0" fontId="28" fillId="2" borderId="21" xfId="7" applyNumberFormat="1" applyFont="1" applyFill="1" applyBorder="1" applyAlignment="1" applyProtection="1">
      <alignment vertical="center" wrapText="1"/>
    </xf>
    <xf numFmtId="0" fontId="28" fillId="2" borderId="22" xfId="7" applyNumberFormat="1" applyFont="1" applyFill="1" applyBorder="1" applyAlignment="1" applyProtection="1">
      <alignment vertical="center" wrapText="1"/>
    </xf>
    <xf numFmtId="0" fontId="28" fillId="2" borderId="24" xfId="7" applyNumberFormat="1" applyFont="1" applyFill="1" applyBorder="1" applyAlignment="1" applyProtection="1">
      <alignment vertical="center" wrapText="1"/>
    </xf>
    <xf numFmtId="0" fontId="58" fillId="28" borderId="2" xfId="0" applyFont="1" applyFill="1" applyBorder="1" applyAlignment="1">
      <alignment vertical="center" wrapText="1"/>
    </xf>
    <xf numFmtId="0" fontId="58" fillId="28" borderId="3" xfId="0" applyFont="1" applyFill="1" applyBorder="1" applyAlignment="1">
      <alignment vertical="center" wrapText="1"/>
    </xf>
    <xf numFmtId="0" fontId="58" fillId="26" borderId="7" xfId="0" applyFont="1" applyFill="1" applyBorder="1" applyAlignment="1">
      <alignment horizontal="center" vertical="center" wrapText="1"/>
    </xf>
    <xf numFmtId="0" fontId="58" fillId="26" borderId="8" xfId="0" applyFont="1" applyFill="1" applyBorder="1" applyAlignment="1">
      <alignment horizontal="center" vertical="center" wrapText="1"/>
    </xf>
    <xf numFmtId="0" fontId="58" fillId="26" borderId="6" xfId="0" applyFont="1" applyFill="1" applyBorder="1" applyAlignment="1">
      <alignment horizontal="center" vertical="center" wrapText="1"/>
    </xf>
    <xf numFmtId="0" fontId="58" fillId="26" borderId="28" xfId="0" applyFont="1" applyFill="1" applyBorder="1" applyAlignment="1">
      <alignment vertical="center"/>
    </xf>
    <xf numFmtId="0" fontId="58" fillId="26" borderId="30" xfId="0" applyFont="1" applyFill="1" applyBorder="1" applyAlignment="1">
      <alignment vertical="center"/>
    </xf>
    <xf numFmtId="0" fontId="58" fillId="26" borderId="13" xfId="0" applyFont="1" applyFill="1" applyBorder="1" applyAlignment="1">
      <alignment vertical="center"/>
    </xf>
    <xf numFmtId="0" fontId="58" fillId="26" borderId="31" xfId="0" applyFont="1" applyFill="1" applyBorder="1" applyAlignment="1">
      <alignment vertical="center"/>
    </xf>
    <xf numFmtId="0" fontId="58" fillId="26" borderId="12" xfId="0" applyFont="1" applyFill="1" applyBorder="1" applyAlignment="1">
      <alignment vertical="center"/>
    </xf>
    <xf numFmtId="0" fontId="58" fillId="26" borderId="11" xfId="0" applyFont="1" applyFill="1" applyBorder="1" applyAlignment="1">
      <alignment vertical="center"/>
    </xf>
    <xf numFmtId="0" fontId="58" fillId="26" borderId="1" xfId="0" applyFont="1" applyFill="1" applyBorder="1" applyAlignment="1">
      <alignment vertical="center" wrapText="1"/>
    </xf>
    <xf numFmtId="0" fontId="21" fillId="0" borderId="0" xfId="0" applyFont="1" applyAlignment="1">
      <alignment horizontal="center"/>
    </xf>
    <xf numFmtId="0" fontId="58" fillId="26" borderId="1" xfId="0" applyFont="1" applyFill="1" applyBorder="1" applyAlignment="1">
      <alignment vertical="center"/>
    </xf>
    <xf numFmtId="0" fontId="58" fillId="27" borderId="2" xfId="0" applyFont="1" applyFill="1" applyBorder="1" applyAlignment="1">
      <alignment vertical="center" wrapText="1"/>
    </xf>
    <xf numFmtId="0" fontId="58" fillId="27" borderId="3" xfId="0" applyFont="1" applyFill="1" applyBorder="1" applyAlignment="1">
      <alignment vertical="center" wrapText="1"/>
    </xf>
    <xf numFmtId="0" fontId="11" fillId="0" borderId="28" xfId="0" applyFont="1" applyBorder="1" applyAlignment="1">
      <alignment vertical="center" wrapText="1"/>
    </xf>
    <xf numFmtId="0" fontId="11" fillId="0" borderId="29" xfId="0" applyFont="1" applyBorder="1" applyAlignment="1">
      <alignment vertical="center" wrapText="1"/>
    </xf>
    <xf numFmtId="0" fontId="11" fillId="0" borderId="30" xfId="0" applyFont="1" applyBorder="1" applyAlignment="1">
      <alignment vertical="center" wrapText="1"/>
    </xf>
    <xf numFmtId="0" fontId="11" fillId="0" borderId="12" xfId="0" applyFont="1" applyBorder="1" applyAlignment="1">
      <alignment vertical="center" wrapText="1"/>
    </xf>
    <xf numFmtId="0" fontId="11" fillId="0" borderId="10" xfId="0" applyFont="1" applyBorder="1" applyAlignment="1">
      <alignment vertical="center" wrapText="1"/>
    </xf>
    <xf numFmtId="0" fontId="11" fillId="0" borderId="11" xfId="0" applyFont="1" applyBorder="1" applyAlignment="1">
      <alignment vertical="center" wrapText="1"/>
    </xf>
    <xf numFmtId="0" fontId="0" fillId="0" borderId="2" xfId="0" applyBorder="1" applyAlignment="1">
      <alignment vertical="center" wrapText="1"/>
    </xf>
    <xf numFmtId="0" fontId="0" fillId="0" borderId="9" xfId="0" applyBorder="1" applyAlignment="1">
      <alignment vertical="center" wrapText="1"/>
    </xf>
    <xf numFmtId="0" fontId="0" fillId="0" borderId="3" xfId="0" applyBorder="1" applyAlignment="1">
      <alignment vertical="center" wrapText="1"/>
    </xf>
    <xf numFmtId="0" fontId="58" fillId="27" borderId="1" xfId="0" applyFont="1" applyFill="1" applyBorder="1" applyAlignment="1">
      <alignment vertical="center" wrapText="1"/>
    </xf>
    <xf numFmtId="0" fontId="9" fillId="0" borderId="43" xfId="5" applyBorder="1" applyAlignment="1" applyProtection="1">
      <alignment horizontal="center"/>
      <protection locked="0"/>
    </xf>
    <xf numFmtId="0" fontId="9" fillId="0" borderId="33" xfId="5" applyBorder="1" applyAlignment="1" applyProtection="1">
      <alignment horizontal="center"/>
      <protection locked="0"/>
    </xf>
    <xf numFmtId="0" fontId="9" fillId="0" borderId="34" xfId="5" applyBorder="1" applyAlignment="1" applyProtection="1">
      <alignment horizontal="center"/>
      <protection locked="0"/>
    </xf>
    <xf numFmtId="0" fontId="31" fillId="3" borderId="43" xfId="0" applyFont="1" applyFill="1" applyBorder="1" applyAlignment="1">
      <alignment horizontal="center" vertical="center"/>
    </xf>
    <xf numFmtId="0" fontId="31" fillId="3" borderId="33" xfId="0" applyFont="1" applyFill="1" applyBorder="1" applyAlignment="1">
      <alignment horizontal="center" vertical="center"/>
    </xf>
    <xf numFmtId="0" fontId="31" fillId="3" borderId="34" xfId="0" applyFont="1" applyFill="1" applyBorder="1" applyAlignment="1">
      <alignment horizontal="center" vertical="center"/>
    </xf>
    <xf numFmtId="0" fontId="11" fillId="0" borderId="28" xfId="0" applyFont="1" applyBorder="1" applyAlignment="1">
      <alignment horizontal="left" vertical="center" wrapText="1"/>
    </xf>
    <xf numFmtId="0" fontId="11" fillId="0" borderId="29" xfId="0" applyFont="1" applyBorder="1" applyAlignment="1">
      <alignment horizontal="left" vertical="center" wrapText="1"/>
    </xf>
    <xf numFmtId="0" fontId="11" fillId="0" borderId="30" xfId="0" applyFont="1" applyBorder="1" applyAlignment="1">
      <alignment horizontal="left" vertical="center" wrapText="1"/>
    </xf>
    <xf numFmtId="0" fontId="11" fillId="0" borderId="12" xfId="0" applyFont="1" applyBorder="1" applyAlignment="1">
      <alignment horizontal="left" vertical="center" wrapTex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11" fillId="0" borderId="2" xfId="0" applyFont="1" applyBorder="1" applyAlignment="1">
      <alignment horizontal="left" vertical="top" wrapText="1"/>
    </xf>
    <xf numFmtId="0" fontId="11" fillId="0" borderId="9" xfId="0" applyFont="1" applyBorder="1" applyAlignment="1">
      <alignment horizontal="left" vertical="top" wrapText="1"/>
    </xf>
    <xf numFmtId="0" fontId="11" fillId="0" borderId="3" xfId="0" applyFont="1" applyBorder="1" applyAlignment="1">
      <alignment horizontal="left" vertical="top" wrapText="1"/>
    </xf>
    <xf numFmtId="0" fontId="44" fillId="3" borderId="15" xfId="0" applyFont="1" applyFill="1" applyBorder="1" applyAlignment="1">
      <alignment horizontal="center" vertical="center"/>
    </xf>
    <xf numFmtId="0" fontId="44" fillId="3" borderId="0" xfId="0" applyFont="1" applyFill="1" applyAlignment="1">
      <alignment horizontal="center" vertical="center"/>
    </xf>
    <xf numFmtId="49" fontId="10" fillId="2" borderId="28" xfId="0" applyNumberFormat="1" applyFont="1" applyFill="1" applyBorder="1" applyAlignment="1" applyProtection="1">
      <alignment horizontal="left" vertical="center" wrapText="1"/>
      <protection locked="0"/>
    </xf>
    <xf numFmtId="49" fontId="10" fillId="2" borderId="29" xfId="0" applyNumberFormat="1" applyFont="1" applyFill="1" applyBorder="1" applyAlignment="1" applyProtection="1">
      <alignment horizontal="left" vertical="center" wrapText="1"/>
      <protection locked="0"/>
    </xf>
    <xf numFmtId="49" fontId="10" fillId="2" borderId="30" xfId="0" applyNumberFormat="1" applyFont="1" applyFill="1" applyBorder="1" applyAlignment="1" applyProtection="1">
      <alignment horizontal="left" vertical="center" wrapText="1"/>
      <protection locked="0"/>
    </xf>
    <xf numFmtId="49" fontId="10" fillId="2" borderId="12" xfId="0" applyNumberFormat="1" applyFont="1" applyFill="1" applyBorder="1" applyAlignment="1" applyProtection="1">
      <alignment horizontal="left" vertical="center" wrapText="1"/>
      <protection locked="0"/>
    </xf>
    <xf numFmtId="49" fontId="10" fillId="2" borderId="10" xfId="0" applyNumberFormat="1" applyFont="1" applyFill="1" applyBorder="1" applyAlignment="1" applyProtection="1">
      <alignment horizontal="left" vertical="center" wrapText="1"/>
      <protection locked="0"/>
    </xf>
    <xf numFmtId="49" fontId="10" fillId="2" borderId="11" xfId="0" applyNumberFormat="1" applyFont="1" applyFill="1" applyBorder="1" applyAlignment="1" applyProtection="1">
      <alignment horizontal="left" vertical="center" wrapText="1"/>
      <protection locked="0"/>
    </xf>
    <xf numFmtId="0" fontId="4" fillId="33" borderId="2" xfId="0" applyFont="1" applyFill="1" applyBorder="1" applyAlignment="1">
      <alignment horizontal="center" vertical="center" wrapText="1"/>
    </xf>
    <xf numFmtId="0" fontId="4" fillId="33" borderId="9" xfId="0" applyFont="1" applyFill="1" applyBorder="1" applyAlignment="1">
      <alignment horizontal="center" vertical="center" wrapText="1"/>
    </xf>
    <xf numFmtId="0" fontId="4" fillId="33" borderId="3" xfId="0" applyFont="1" applyFill="1" applyBorder="1" applyAlignment="1">
      <alignment horizontal="center" vertical="center" wrapText="1"/>
    </xf>
    <xf numFmtId="0" fontId="24" fillId="5" borderId="2" xfId="0" applyFont="1" applyFill="1" applyBorder="1" applyAlignment="1">
      <alignment horizontal="center" vertical="center" wrapText="1"/>
    </xf>
    <xf numFmtId="0" fontId="24" fillId="5" borderId="9" xfId="0" applyFont="1" applyFill="1" applyBorder="1" applyAlignment="1">
      <alignment horizontal="center" vertical="center" wrapText="1"/>
    </xf>
    <xf numFmtId="0" fontId="24" fillId="5" borderId="3" xfId="0" applyFont="1" applyFill="1" applyBorder="1" applyAlignment="1">
      <alignment horizontal="center" vertical="center" wrapText="1"/>
    </xf>
    <xf numFmtId="0" fontId="47" fillId="3" borderId="0" xfId="12" applyFont="1" applyFill="1" applyBorder="1" applyAlignment="1" applyProtection="1">
      <alignment horizontal="center"/>
    </xf>
    <xf numFmtId="0" fontId="47" fillId="3" borderId="31" xfId="12" applyFont="1" applyFill="1" applyBorder="1" applyAlignment="1" applyProtection="1">
      <alignment horizontal="center"/>
    </xf>
    <xf numFmtId="0" fontId="47" fillId="3" borderId="15" xfId="0" applyFont="1" applyFill="1" applyBorder="1" applyAlignment="1">
      <alignment horizontal="center" vertical="center" wrapText="1"/>
    </xf>
    <xf numFmtId="0" fontId="47" fillId="3" borderId="0" xfId="0" applyFont="1" applyFill="1" applyAlignment="1">
      <alignment horizontal="center" vertical="center" wrapText="1"/>
    </xf>
    <xf numFmtId="0" fontId="73" fillId="0" borderId="25" xfId="0" applyFont="1" applyBorder="1" applyAlignment="1">
      <alignment horizontal="left" vertical="center" wrapText="1"/>
    </xf>
    <xf numFmtId="0" fontId="73" fillId="0" borderId="26" xfId="0" applyFont="1" applyBorder="1" applyAlignment="1">
      <alignment horizontal="left" vertical="center" wrapText="1"/>
    </xf>
    <xf numFmtId="0" fontId="73" fillId="0" borderId="27" xfId="0" applyFont="1" applyBorder="1" applyAlignment="1">
      <alignment horizontal="left" vertical="center" wrapText="1"/>
    </xf>
    <xf numFmtId="0" fontId="73" fillId="0" borderId="15" xfId="0" applyFont="1" applyBorder="1" applyAlignment="1">
      <alignment horizontal="left" vertical="center" wrapText="1"/>
    </xf>
    <xf numFmtId="0" fontId="73" fillId="0" borderId="0" xfId="0" applyFont="1" applyAlignment="1">
      <alignment horizontal="left" vertical="center" wrapText="1"/>
    </xf>
    <xf numFmtId="0" fontId="73" fillId="0" borderId="21" xfId="0" applyFont="1" applyBorder="1" applyAlignment="1">
      <alignment horizontal="left" vertical="center" wrapText="1"/>
    </xf>
    <xf numFmtId="0" fontId="73" fillId="0" borderId="22" xfId="0" applyFont="1" applyBorder="1" applyAlignment="1">
      <alignment horizontal="left" vertical="center" wrapText="1"/>
    </xf>
    <xf numFmtId="0" fontId="73" fillId="0" borderId="23" xfId="0" applyFont="1" applyBorder="1" applyAlignment="1">
      <alignment horizontal="left" vertical="center" wrapText="1"/>
    </xf>
    <xf numFmtId="0" fontId="73" fillId="0" borderId="24" xfId="0" applyFont="1" applyBorder="1" applyAlignment="1">
      <alignment horizontal="left" vertical="center" wrapText="1"/>
    </xf>
    <xf numFmtId="0" fontId="10" fillId="0" borderId="0" xfId="0" applyFont="1" applyAlignment="1">
      <alignment horizontal="left" wrapText="1"/>
    </xf>
    <xf numFmtId="0" fontId="10" fillId="0" borderId="28" xfId="0" applyFont="1" applyBorder="1" applyAlignment="1">
      <alignment horizontal="left" vertical="top" wrapText="1"/>
    </xf>
    <xf numFmtId="0" fontId="10" fillId="0" borderId="29" xfId="0" applyFont="1" applyBorder="1" applyAlignment="1">
      <alignment horizontal="left" vertical="top" wrapText="1"/>
    </xf>
    <xf numFmtId="0" fontId="10" fillId="0" borderId="30" xfId="0" applyFont="1" applyBorder="1" applyAlignment="1">
      <alignment horizontal="left" vertical="top" wrapText="1"/>
    </xf>
    <xf numFmtId="0" fontId="10" fillId="0" borderId="12" xfId="0" applyFont="1" applyBorder="1" applyAlignment="1">
      <alignment horizontal="left" vertical="top" wrapText="1"/>
    </xf>
    <xf numFmtId="0" fontId="10" fillId="0" borderId="10" xfId="0" applyFont="1" applyBorder="1" applyAlignment="1">
      <alignment horizontal="left" vertical="top" wrapText="1"/>
    </xf>
    <xf numFmtId="0" fontId="24" fillId="4" borderId="7" xfId="0" applyFont="1" applyFill="1" applyBorder="1" applyAlignment="1">
      <alignment horizontal="left" vertical="center" wrapText="1"/>
    </xf>
    <xf numFmtId="0" fontId="24" fillId="4" borderId="8" xfId="0" applyFont="1" applyFill="1" applyBorder="1" applyAlignment="1">
      <alignment horizontal="left" vertical="center" wrapText="1"/>
    </xf>
    <xf numFmtId="0" fontId="24" fillId="4" borderId="6" xfId="0" applyFont="1" applyFill="1" applyBorder="1" applyAlignment="1">
      <alignment horizontal="left" vertical="center" wrapText="1"/>
    </xf>
    <xf numFmtId="0" fontId="38" fillId="5" borderId="1" xfId="0" applyFont="1" applyFill="1" applyBorder="1" applyAlignment="1">
      <alignment horizontal="left" vertical="center"/>
    </xf>
    <xf numFmtId="0" fontId="38" fillId="5" borderId="2" xfId="0" applyFont="1" applyFill="1" applyBorder="1" applyAlignment="1">
      <alignment horizontal="left" vertical="center"/>
    </xf>
    <xf numFmtId="0" fontId="24" fillId="5" borderId="7" xfId="0" applyFont="1" applyFill="1" applyBorder="1" applyAlignment="1">
      <alignment horizontal="center" vertical="center" textRotation="90" wrapText="1"/>
    </xf>
    <xf numFmtId="0" fontId="24" fillId="5" borderId="8" xfId="0" applyFont="1" applyFill="1" applyBorder="1" applyAlignment="1">
      <alignment horizontal="center" vertical="center" textRotation="90" wrapText="1"/>
    </xf>
    <xf numFmtId="0" fontId="24" fillId="5" borderId="6" xfId="0" applyFont="1" applyFill="1" applyBorder="1" applyAlignment="1">
      <alignment horizontal="center" vertical="center" textRotation="90" wrapText="1"/>
    </xf>
    <xf numFmtId="0" fontId="24" fillId="5" borderId="1" xfId="0" applyFont="1" applyFill="1" applyBorder="1" applyAlignment="1">
      <alignment horizontal="left" vertical="center"/>
    </xf>
    <xf numFmtId="0" fontId="24" fillId="5" borderId="2" xfId="0" applyFont="1" applyFill="1" applyBorder="1" applyAlignment="1">
      <alignment horizontal="left" vertical="center"/>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5" borderId="2" xfId="0" applyFont="1" applyFill="1" applyBorder="1" applyAlignment="1">
      <alignment horizontal="left" vertical="center"/>
    </xf>
    <xf numFmtId="0" fontId="10" fillId="5" borderId="9" xfId="0" applyFont="1" applyFill="1" applyBorder="1" applyAlignment="1">
      <alignment horizontal="left" vertical="center"/>
    </xf>
    <xf numFmtId="0" fontId="37" fillId="0" borderId="16" xfId="0" applyFont="1" applyBorder="1" applyAlignment="1">
      <alignment horizontal="center" vertical="center"/>
    </xf>
    <xf numFmtId="0" fontId="37" fillId="0" borderId="17" xfId="0" applyFont="1" applyBorder="1" applyAlignment="1">
      <alignment horizontal="center" vertical="center"/>
    </xf>
    <xf numFmtId="0" fontId="37" fillId="0" borderId="62" xfId="0" applyFont="1" applyBorder="1" applyAlignment="1">
      <alignment horizontal="center" vertical="center"/>
    </xf>
    <xf numFmtId="0" fontId="24" fillId="0" borderId="0" xfId="0" applyFont="1" applyAlignment="1">
      <alignment horizontal="left" vertical="center" wrapText="1"/>
    </xf>
    <xf numFmtId="0" fontId="24" fillId="4" borderId="2" xfId="0" applyFont="1" applyFill="1" applyBorder="1" applyAlignment="1">
      <alignment horizontal="left" vertical="center" wrapText="1"/>
    </xf>
    <xf numFmtId="0" fontId="24" fillId="4" borderId="9" xfId="0" applyFont="1" applyFill="1" applyBorder="1" applyAlignment="1">
      <alignment horizontal="left" vertical="center" wrapText="1"/>
    </xf>
    <xf numFmtId="0" fontId="4" fillId="8" borderId="2" xfId="0" applyFont="1" applyFill="1" applyBorder="1" applyAlignment="1">
      <alignment horizontal="center" vertical="center" wrapText="1"/>
    </xf>
    <xf numFmtId="0" fontId="4" fillId="8" borderId="9"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7" fillId="3" borderId="0" xfId="12" applyFont="1" applyFill="1" applyBorder="1" applyAlignment="1" applyProtection="1">
      <alignment horizontal="left"/>
    </xf>
    <xf numFmtId="0" fontId="24" fillId="0" borderId="0" xfId="0" applyFont="1" applyAlignment="1">
      <alignment horizontal="left" wrapText="1"/>
    </xf>
    <xf numFmtId="0" fontId="24" fillId="0" borderId="10" xfId="0" applyFont="1" applyBorder="1" applyAlignment="1">
      <alignment horizontal="left" vertical="center" wrapText="1"/>
    </xf>
    <xf numFmtId="0" fontId="31" fillId="17" borderId="15" xfId="0" applyFont="1" applyFill="1" applyBorder="1" applyAlignment="1">
      <alignment horizontal="left" vertical="center"/>
    </xf>
    <xf numFmtId="0" fontId="31" fillId="17" borderId="0" xfId="0" applyFont="1" applyFill="1" applyAlignment="1">
      <alignment horizontal="left" vertical="center"/>
    </xf>
    <xf numFmtId="0" fontId="31" fillId="17" borderId="21" xfId="0" applyFont="1" applyFill="1" applyBorder="1" applyAlignment="1">
      <alignment horizontal="left" vertical="center"/>
    </xf>
    <xf numFmtId="0" fontId="31" fillId="17" borderId="65" xfId="0" applyFont="1" applyFill="1" applyBorder="1" applyAlignment="1">
      <alignment horizontal="center" vertical="center" wrapText="1"/>
    </xf>
    <xf numFmtId="0" fontId="31" fillId="17" borderId="66" xfId="0" applyFont="1" applyFill="1" applyBorder="1" applyAlignment="1">
      <alignment horizontal="center" vertical="center" wrapText="1"/>
    </xf>
    <xf numFmtId="0" fontId="31" fillId="17" borderId="67" xfId="0" applyFont="1" applyFill="1" applyBorder="1" applyAlignment="1">
      <alignment horizontal="center" vertical="center" wrapText="1"/>
    </xf>
    <xf numFmtId="0" fontId="31" fillId="17" borderId="1" xfId="0" applyFont="1" applyFill="1" applyBorder="1" applyAlignment="1">
      <alignment horizontal="center" vertical="center" wrapText="1"/>
    </xf>
    <xf numFmtId="0" fontId="38" fillId="5" borderId="15" xfId="0" applyFont="1" applyFill="1" applyBorder="1" applyAlignment="1">
      <alignment horizontal="center" vertical="center"/>
    </xf>
    <xf numFmtId="0" fontId="38" fillId="5" borderId="0" xfId="0" applyFont="1" applyFill="1" applyAlignment="1">
      <alignment horizontal="center" vertical="center"/>
    </xf>
    <xf numFmtId="0" fontId="31" fillId="17" borderId="15" xfId="0" applyFont="1" applyFill="1" applyBorder="1" applyAlignment="1">
      <alignment horizontal="center" vertical="center"/>
    </xf>
    <xf numFmtId="0" fontId="31" fillId="17" borderId="0" xfId="0" applyFont="1" applyFill="1" applyAlignment="1">
      <alignment horizontal="center" vertical="center"/>
    </xf>
    <xf numFmtId="0" fontId="31" fillId="17" borderId="21" xfId="0" applyFont="1" applyFill="1" applyBorder="1" applyAlignment="1">
      <alignment horizontal="center" vertical="center"/>
    </xf>
    <xf numFmtId="0" fontId="57" fillId="5" borderId="43" xfId="0" applyFont="1" applyFill="1" applyBorder="1" applyAlignment="1">
      <alignment horizontal="center" vertical="center" wrapText="1"/>
    </xf>
    <xf numFmtId="0" fontId="57" fillId="5" borderId="33" xfId="0" applyFont="1" applyFill="1" applyBorder="1" applyAlignment="1">
      <alignment horizontal="center" vertical="center" wrapText="1"/>
    </xf>
    <xf numFmtId="0" fontId="24" fillId="0" borderId="25" xfId="0" applyFont="1" applyBorder="1" applyAlignment="1">
      <alignment horizontal="left" vertical="center" wrapText="1"/>
    </xf>
    <xf numFmtId="0" fontId="24" fillId="0" borderId="26" xfId="0" applyFont="1" applyBorder="1" applyAlignment="1">
      <alignment horizontal="left" vertical="center" wrapText="1"/>
    </xf>
    <xf numFmtId="0" fontId="24" fillId="0" borderId="27" xfId="0" applyFont="1" applyBorder="1" applyAlignment="1">
      <alignment horizontal="left" vertical="center" wrapText="1"/>
    </xf>
    <xf numFmtId="0" fontId="24" fillId="0" borderId="22" xfId="0" applyFont="1" applyBorder="1" applyAlignment="1">
      <alignment horizontal="left" vertical="center" wrapText="1"/>
    </xf>
    <xf numFmtId="0" fontId="24" fillId="0" borderId="23" xfId="0" applyFont="1" applyBorder="1" applyAlignment="1">
      <alignment horizontal="left" vertical="center" wrapText="1"/>
    </xf>
    <xf numFmtId="0" fontId="24" fillId="0" borderId="24" xfId="0" applyFont="1" applyBorder="1" applyAlignment="1">
      <alignment horizontal="left" vertical="center" wrapText="1"/>
    </xf>
    <xf numFmtId="0" fontId="57" fillId="0" borderId="0" xfId="0" applyFont="1" applyAlignment="1">
      <alignment horizontal="center"/>
    </xf>
    <xf numFmtId="0" fontId="24" fillId="0" borderId="15" xfId="0" applyFont="1" applyBorder="1" applyAlignment="1">
      <alignment horizontal="left" vertical="center" wrapText="1"/>
    </xf>
    <xf numFmtId="0" fontId="24" fillId="0" borderId="21" xfId="0" applyFont="1" applyBorder="1" applyAlignment="1">
      <alignment horizontal="left" vertical="center" wrapText="1"/>
    </xf>
    <xf numFmtId="0" fontId="115" fillId="0" borderId="0" xfId="0" applyFont="1" applyAlignment="1">
      <alignment horizontal="left"/>
    </xf>
    <xf numFmtId="0" fontId="123" fillId="29" borderId="91" xfId="12" applyFont="1" applyFill="1" applyBorder="1" applyAlignment="1" applyProtection="1">
      <alignment horizontal="left"/>
    </xf>
    <xf numFmtId="0" fontId="123" fillId="29" borderId="23" xfId="12" applyFont="1" applyFill="1" applyBorder="1" applyAlignment="1" applyProtection="1">
      <alignment horizontal="left"/>
    </xf>
    <xf numFmtId="0" fontId="123" fillId="29" borderId="92" xfId="12" applyFont="1" applyFill="1" applyBorder="1" applyAlignment="1" applyProtection="1">
      <alignment horizontal="left"/>
    </xf>
    <xf numFmtId="0" fontId="123" fillId="29" borderId="0" xfId="12" applyFont="1" applyFill="1" applyBorder="1" applyAlignment="1" applyProtection="1">
      <alignment horizontal="left"/>
    </xf>
    <xf numFmtId="0" fontId="123" fillId="29" borderId="25" xfId="12" applyFont="1" applyFill="1" applyBorder="1" applyAlignment="1" applyProtection="1">
      <alignment horizontal="center"/>
    </xf>
    <xf numFmtId="0" fontId="123" fillId="29" borderId="26" xfId="12" applyFont="1" applyFill="1" applyBorder="1" applyAlignment="1" applyProtection="1">
      <alignment horizontal="center"/>
    </xf>
    <xf numFmtId="0" fontId="123" fillId="29" borderId="27" xfId="12" applyFont="1" applyFill="1" applyBorder="1" applyAlignment="1" applyProtection="1">
      <alignment horizontal="center"/>
    </xf>
    <xf numFmtId="0" fontId="123" fillId="29" borderId="22" xfId="12" applyFont="1" applyFill="1" applyBorder="1" applyAlignment="1" applyProtection="1">
      <alignment horizontal="center"/>
    </xf>
    <xf numFmtId="0" fontId="123" fillId="29" borderId="23" xfId="12" applyFont="1" applyFill="1" applyBorder="1" applyAlignment="1" applyProtection="1">
      <alignment horizontal="center"/>
    </xf>
    <xf numFmtId="0" fontId="123" fillId="29" borderId="24" xfId="12" applyFont="1" applyFill="1" applyBorder="1" applyAlignment="1" applyProtection="1">
      <alignment horizontal="center"/>
    </xf>
    <xf numFmtId="0" fontId="120" fillId="0" borderId="83" xfId="0" applyFont="1" applyBorder="1" applyAlignment="1">
      <alignment horizontal="left" vertical="center" wrapText="1"/>
    </xf>
    <xf numFmtId="0" fontId="120" fillId="0" borderId="84" xfId="0" applyFont="1" applyBorder="1" applyAlignment="1">
      <alignment horizontal="left" vertical="center" wrapText="1"/>
    </xf>
    <xf numFmtId="0" fontId="120" fillId="0" borderId="87" xfId="0" applyFont="1" applyBorder="1" applyAlignment="1">
      <alignment horizontal="left" vertical="center" wrapText="1"/>
    </xf>
    <xf numFmtId="0" fontId="123" fillId="29" borderId="93" xfId="12" applyFont="1" applyFill="1" applyBorder="1" applyAlignment="1" applyProtection="1">
      <alignment horizontal="left"/>
    </xf>
    <xf numFmtId="0" fontId="123" fillId="29" borderId="33" xfId="12" applyFont="1" applyFill="1" applyBorder="1" applyAlignment="1" applyProtection="1">
      <alignment horizontal="left"/>
    </xf>
    <xf numFmtId="0" fontId="24" fillId="0" borderId="21" xfId="0" applyFont="1" applyBorder="1" applyAlignment="1">
      <alignment horizontal="center" wrapText="1"/>
    </xf>
    <xf numFmtId="0" fontId="74" fillId="11" borderId="15" xfId="0" applyFont="1" applyFill="1" applyBorder="1" applyAlignment="1">
      <alignment horizontal="center"/>
    </xf>
    <xf numFmtId="0" fontId="74" fillId="11" borderId="0" xfId="0" applyFont="1" applyFill="1" applyAlignment="1">
      <alignment horizontal="center"/>
    </xf>
    <xf numFmtId="0" fontId="24" fillId="0" borderId="2" xfId="0" applyFont="1" applyBorder="1" applyAlignment="1">
      <alignment horizontal="right"/>
    </xf>
    <xf numFmtId="0" fontId="24" fillId="0" borderId="3" xfId="0" applyFont="1" applyBorder="1" applyAlignment="1">
      <alignment horizontal="right"/>
    </xf>
    <xf numFmtId="0" fontId="47" fillId="3" borderId="25" xfId="12" applyFont="1" applyFill="1" applyBorder="1" applyAlignment="1" applyProtection="1">
      <alignment horizontal="center"/>
    </xf>
    <xf numFmtId="0" fontId="47" fillId="3" borderId="26" xfId="12" applyFont="1" applyFill="1" applyBorder="1" applyAlignment="1" applyProtection="1">
      <alignment horizontal="center"/>
    </xf>
    <xf numFmtId="0" fontId="47" fillId="3" borderId="15" xfId="12" applyFont="1" applyFill="1" applyBorder="1" applyAlignment="1" applyProtection="1">
      <alignment horizontal="center"/>
    </xf>
    <xf numFmtId="0" fontId="47" fillId="3" borderId="22" xfId="12" applyFont="1" applyFill="1" applyBorder="1" applyAlignment="1" applyProtection="1">
      <alignment horizontal="center"/>
    </xf>
    <xf numFmtId="0" fontId="47" fillId="3" borderId="23" xfId="12" applyFont="1" applyFill="1" applyBorder="1" applyAlignment="1" applyProtection="1">
      <alignment horizontal="center"/>
    </xf>
    <xf numFmtId="0" fontId="47" fillId="3" borderId="24" xfId="12" applyFont="1" applyFill="1" applyBorder="1" applyAlignment="1" applyProtection="1">
      <alignment horizontal="center"/>
    </xf>
    <xf numFmtId="0" fontId="24" fillId="11" borderId="15" xfId="0" applyFont="1" applyFill="1" applyBorder="1" applyAlignment="1">
      <alignment horizontal="left" wrapText="1"/>
    </xf>
    <xf numFmtId="0" fontId="24" fillId="11" borderId="0" xfId="0" applyFont="1" applyFill="1" applyAlignment="1">
      <alignment horizontal="left" wrapText="1"/>
    </xf>
    <xf numFmtId="0" fontId="24" fillId="11" borderId="22" xfId="0" applyFont="1" applyFill="1" applyBorder="1" applyAlignment="1">
      <alignment horizontal="left" wrapText="1"/>
    </xf>
    <xf numFmtId="0" fontId="24" fillId="11" borderId="23" xfId="0" applyFont="1" applyFill="1" applyBorder="1" applyAlignment="1">
      <alignment horizontal="left" wrapText="1"/>
    </xf>
    <xf numFmtId="49" fontId="4" fillId="2" borderId="81" xfId="13" applyNumberFormat="1" applyFont="1" applyFill="1" applyBorder="1" applyAlignment="1" applyProtection="1">
      <alignment horizontal="center"/>
      <protection locked="0"/>
    </xf>
    <xf numFmtId="49" fontId="4" fillId="2" borderId="59" xfId="13" applyNumberFormat="1" applyFont="1" applyFill="1" applyBorder="1" applyAlignment="1" applyProtection="1">
      <alignment horizontal="center"/>
      <protection locked="0"/>
    </xf>
    <xf numFmtId="0" fontId="32" fillId="0" borderId="16" xfId="0" applyFont="1" applyBorder="1" applyAlignment="1">
      <alignment horizontal="left" vertical="center" wrapText="1"/>
    </xf>
    <xf numFmtId="0" fontId="32" fillId="0" borderId="18" xfId="0" applyFont="1" applyBorder="1" applyAlignment="1">
      <alignment horizontal="left" vertical="center" wrapText="1"/>
    </xf>
    <xf numFmtId="0" fontId="24" fillId="11" borderId="54" xfId="0" applyFont="1" applyFill="1" applyBorder="1" applyAlignment="1">
      <alignment horizontal="left" wrapText="1"/>
    </xf>
    <xf numFmtId="0" fontId="24" fillId="11" borderId="55" xfId="0" applyFont="1" applyFill="1" applyBorder="1" applyAlignment="1">
      <alignment horizontal="left" wrapText="1"/>
    </xf>
    <xf numFmtId="0" fontId="47" fillId="3" borderId="43" xfId="0" applyFont="1" applyFill="1" applyBorder="1" applyAlignment="1">
      <alignment horizontal="center" vertical="center"/>
    </xf>
    <xf numFmtId="0" fontId="47" fillId="3" borderId="33" xfId="0" applyFont="1" applyFill="1" applyBorder="1" applyAlignment="1">
      <alignment horizontal="center" vertical="center"/>
    </xf>
    <xf numFmtId="0" fontId="44" fillId="3" borderId="43" xfId="0" applyFont="1" applyFill="1" applyBorder="1" applyAlignment="1">
      <alignment horizontal="center" vertical="center" wrapText="1"/>
    </xf>
    <xf numFmtId="0" fontId="44" fillId="3" borderId="52" xfId="0" applyFont="1" applyFill="1" applyBorder="1" applyAlignment="1">
      <alignment horizontal="center" vertical="center" wrapText="1"/>
    </xf>
    <xf numFmtId="0" fontId="24" fillId="0" borderId="6" xfId="0" applyFont="1" applyBorder="1"/>
    <xf numFmtId="0" fontId="24" fillId="0" borderId="1" xfId="0" applyFont="1" applyBorder="1"/>
    <xf numFmtId="0" fontId="10" fillId="0" borderId="1" xfId="0" applyFont="1" applyBorder="1" applyAlignment="1">
      <alignment horizontal="left" vertical="top"/>
    </xf>
    <xf numFmtId="0" fontId="10" fillId="0" borderId="1" xfId="0" applyFont="1" applyBorder="1" applyAlignment="1">
      <alignment horizontal="right" vertical="top"/>
    </xf>
    <xf numFmtId="0" fontId="24" fillId="0" borderId="1" xfId="0" applyFont="1" applyBorder="1" applyAlignment="1">
      <alignment horizontal="left" indent="1"/>
    </xf>
    <xf numFmtId="0" fontId="24" fillId="0" borderId="2" xfId="0" applyFont="1" applyBorder="1" applyAlignment="1">
      <alignment horizontal="left" indent="1"/>
    </xf>
    <xf numFmtId="0" fontId="24" fillId="0" borderId="3" xfId="0" applyFont="1" applyBorder="1" applyAlignment="1">
      <alignment horizontal="left" indent="1"/>
    </xf>
    <xf numFmtId="0" fontId="24" fillId="0" borderId="1" xfId="0" applyFont="1" applyBorder="1" applyAlignment="1">
      <alignment horizontal="left" vertical="center"/>
    </xf>
    <xf numFmtId="0" fontId="31" fillId="3" borderId="3" xfId="0" applyFont="1" applyFill="1" applyBorder="1" applyAlignment="1">
      <alignment horizontal="center" vertical="center"/>
    </xf>
    <xf numFmtId="0" fontId="31" fillId="3" borderId="1" xfId="0" applyFont="1" applyFill="1" applyBorder="1" applyAlignment="1">
      <alignment horizontal="center" vertical="center"/>
    </xf>
    <xf numFmtId="0" fontId="110" fillId="3" borderId="0" xfId="0" applyFont="1" applyFill="1" applyAlignment="1">
      <alignment horizontal="center"/>
    </xf>
    <xf numFmtId="0" fontId="110" fillId="3" borderId="15" xfId="0" applyFont="1" applyFill="1" applyBorder="1" applyAlignment="1">
      <alignment horizontal="center"/>
    </xf>
    <xf numFmtId="43" fontId="94" fillId="0" borderId="0" xfId="13" applyFont="1" applyFill="1" applyBorder="1" applyAlignment="1" applyProtection="1">
      <alignment horizontal="center" vertical="top" wrapText="1"/>
    </xf>
    <xf numFmtId="0" fontId="110" fillId="3" borderId="22" xfId="0" applyFont="1" applyFill="1" applyBorder="1" applyAlignment="1">
      <alignment horizontal="center"/>
    </xf>
    <xf numFmtId="0" fontId="110" fillId="3" borderId="23" xfId="0" applyFont="1" applyFill="1" applyBorder="1" applyAlignment="1">
      <alignment horizontal="center"/>
    </xf>
    <xf numFmtId="49" fontId="4" fillId="2" borderId="81" xfId="13" applyNumberFormat="1" applyFont="1" applyFill="1" applyBorder="1" applyAlignment="1" applyProtection="1">
      <alignment horizontal="center"/>
    </xf>
    <xf numFmtId="49" fontId="4" fillId="2" borderId="59" xfId="13" applyNumberFormat="1" applyFont="1" applyFill="1" applyBorder="1" applyAlignment="1" applyProtection="1">
      <alignment horizontal="center"/>
    </xf>
    <xf numFmtId="44" fontId="44" fillId="19" borderId="69" xfId="7" applyFont="1" applyFill="1" applyBorder="1" applyAlignment="1" applyProtection="1">
      <alignment vertical="center"/>
    </xf>
    <xf numFmtId="44" fontId="44" fillId="19" borderId="60" xfId="7" applyFont="1" applyFill="1" applyBorder="1" applyAlignment="1" applyProtection="1">
      <alignment vertical="center"/>
    </xf>
    <xf numFmtId="0" fontId="110" fillId="3" borderId="43" xfId="0" applyFont="1" applyFill="1" applyBorder="1" applyAlignment="1">
      <alignment horizontal="center"/>
    </xf>
    <xf numFmtId="0" fontId="110" fillId="3" borderId="33" xfId="0" applyFont="1" applyFill="1" applyBorder="1" applyAlignment="1">
      <alignment horizontal="center"/>
    </xf>
    <xf numFmtId="0" fontId="47" fillId="3" borderId="15" xfId="0" applyFont="1" applyFill="1" applyBorder="1" applyAlignment="1">
      <alignment horizontal="center"/>
    </xf>
    <xf numFmtId="0" fontId="47" fillId="3" borderId="0" xfId="0" applyFont="1" applyFill="1" applyAlignment="1">
      <alignment horizontal="center"/>
    </xf>
    <xf numFmtId="1" fontId="47" fillId="3" borderId="22" xfId="0" applyNumberFormat="1" applyFont="1" applyFill="1" applyBorder="1" applyAlignment="1">
      <alignment horizontal="center"/>
    </xf>
    <xf numFmtId="0" fontId="47" fillId="3" borderId="23" xfId="0" applyFont="1" applyFill="1" applyBorder="1" applyAlignment="1">
      <alignment horizontal="center"/>
    </xf>
    <xf numFmtId="0" fontId="110" fillId="3" borderId="25" xfId="0" applyFont="1" applyFill="1" applyBorder="1" applyAlignment="1">
      <alignment horizontal="center"/>
    </xf>
    <xf numFmtId="0" fontId="110" fillId="3" borderId="26" xfId="0" applyFont="1" applyFill="1" applyBorder="1" applyAlignment="1">
      <alignment horizontal="center"/>
    </xf>
    <xf numFmtId="0" fontId="44" fillId="3" borderId="43" xfId="0" applyFont="1" applyFill="1" applyBorder="1" applyAlignment="1">
      <alignment horizontal="center"/>
    </xf>
    <xf numFmtId="0" fontId="44" fillId="3" borderId="33" xfId="0" applyFont="1" applyFill="1" applyBorder="1" applyAlignment="1">
      <alignment horizontal="center"/>
    </xf>
    <xf numFmtId="0" fontId="44" fillId="3" borderId="34" xfId="0" applyFont="1" applyFill="1" applyBorder="1" applyAlignment="1">
      <alignment horizontal="center"/>
    </xf>
    <xf numFmtId="0" fontId="47" fillId="3" borderId="21" xfId="0" applyFont="1" applyFill="1" applyBorder="1" applyAlignment="1">
      <alignment horizontal="center"/>
    </xf>
    <xf numFmtId="0" fontId="47" fillId="3" borderId="22" xfId="0" applyFont="1" applyFill="1" applyBorder="1" applyAlignment="1">
      <alignment horizontal="center"/>
    </xf>
    <xf numFmtId="0" fontId="47" fillId="3" borderId="24" xfId="0" applyFont="1" applyFill="1" applyBorder="1" applyAlignment="1">
      <alignment horizontal="center"/>
    </xf>
    <xf numFmtId="0" fontId="110" fillId="3" borderId="25" xfId="0" applyFont="1" applyFill="1" applyBorder="1" applyAlignment="1">
      <alignment horizontal="center" wrapText="1"/>
    </xf>
    <xf numFmtId="0" fontId="110" fillId="3" borderId="34" xfId="0" applyFont="1" applyFill="1" applyBorder="1" applyAlignment="1">
      <alignment horizontal="center"/>
    </xf>
    <xf numFmtId="0" fontId="51" fillId="11" borderId="26" xfId="12" applyFont="1" applyFill="1" applyBorder="1" applyAlignment="1" applyProtection="1">
      <alignment horizontal="center"/>
    </xf>
    <xf numFmtId="164" fontId="20" fillId="0" borderId="1" xfId="0" applyNumberFormat="1" applyFont="1" applyBorder="1" applyAlignment="1">
      <alignment horizontal="center"/>
    </xf>
    <xf numFmtId="0" fontId="0" fillId="0" borderId="1" xfId="0" applyBorder="1" applyAlignment="1">
      <alignment horizontal="center"/>
    </xf>
    <xf numFmtId="0" fontId="53" fillId="0" borderId="1" xfId="0" applyFont="1" applyBorder="1" applyAlignment="1">
      <alignment horizontal="center"/>
    </xf>
  </cellXfs>
  <cellStyles count="14">
    <cellStyle name="Comma" xfId="13" builtinId="3"/>
    <cellStyle name="Currency" xfId="7" builtinId="4"/>
    <cellStyle name="Currency 2" xfId="8" xr:uid="{1F3C72DD-BD59-453B-8A5C-8BA75C64C25D}"/>
    <cellStyle name="Explanatory Text" xfId="4" builtinId="53"/>
    <cellStyle name="Explanatory Text 2" xfId="11" xr:uid="{0CA7D270-A079-484C-A3E1-F09F103F5147}"/>
    <cellStyle name="Hyperlink" xfId="5" builtinId="8"/>
    <cellStyle name="Input" xfId="2" builtinId="20"/>
    <cellStyle name="Input 2" xfId="9" xr:uid="{CB5182C8-7AC1-4463-99BD-7175D1A69075}"/>
    <cellStyle name="Normal" xfId="0" builtinId="0"/>
    <cellStyle name="Normal 2" xfId="6" xr:uid="{FCD38EFD-7DD6-4DAF-BA2A-A9EB2112FBCD}"/>
    <cellStyle name="Output" xfId="3" builtinId="21"/>
    <cellStyle name="Output 2" xfId="10" xr:uid="{69B0B1ED-49BB-468A-84C7-A1FC0785723C}"/>
    <cellStyle name="Percent" xfId="1" builtinId="5"/>
    <cellStyle name="Title 2" xfId="12" xr:uid="{CC81F9D9-D513-4985-B5A1-650F7810B27F}"/>
  </cellStyles>
  <dxfs count="216">
    <dxf>
      <fill>
        <patternFill>
          <bgColor rgb="FF00B050"/>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patternType="solid">
          <bgColor theme="6" tint="0.79998168889431442"/>
        </patternFill>
      </fill>
    </dxf>
    <dxf>
      <fill>
        <patternFill>
          <bgColor theme="0" tint="-0.14996795556505021"/>
        </patternFill>
      </fill>
    </dxf>
    <dxf>
      <fill>
        <patternFill patternType="solid">
          <bgColor theme="6" tint="0.79998168889431442"/>
        </patternFill>
      </fill>
    </dxf>
    <dxf>
      <font>
        <color rgb="FF9C0006"/>
      </font>
      <fill>
        <patternFill>
          <bgColor rgb="FFFFC7CE"/>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ont>
        <color rgb="FFFF0000"/>
      </font>
    </dxf>
    <dxf>
      <fill>
        <patternFill patternType="solid">
          <bgColor theme="6" tint="0.79998168889431442"/>
        </patternFill>
      </fill>
    </dxf>
    <dxf>
      <fill>
        <patternFill>
          <bgColor rgb="FFFF0000"/>
        </patternFill>
      </fill>
    </dxf>
    <dxf>
      <fill>
        <patternFill>
          <bgColor rgb="FFFF0000"/>
        </patternFill>
      </fill>
    </dxf>
    <dxf>
      <fill>
        <patternFill patternType="solid">
          <bgColor theme="6" tint="0.79998168889431442"/>
        </patternFill>
      </fill>
    </dxf>
    <dxf>
      <fill>
        <patternFill patternType="solid">
          <bgColor theme="6" tint="0.79998168889431442"/>
        </patternFill>
      </fill>
    </dxf>
    <dxf>
      <fill>
        <patternFill>
          <bgColor theme="0" tint="-0.14996795556505021"/>
        </patternFill>
      </fill>
    </dxf>
    <dxf>
      <fill>
        <patternFill patternType="solid">
          <bgColor theme="6" tint="0.79998168889431442"/>
        </patternFill>
      </fill>
    </dxf>
    <dxf>
      <font>
        <color rgb="FF9C0006"/>
      </font>
      <fill>
        <patternFill>
          <bgColor rgb="FFFFC7CE"/>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bgColor rgb="FFFF0000"/>
        </patternFill>
      </fill>
    </dxf>
    <dxf>
      <fill>
        <patternFill>
          <bgColor rgb="FFFF0000"/>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bgColor theme="0" tint="-0.14996795556505021"/>
        </patternFill>
      </fill>
    </dxf>
    <dxf>
      <fill>
        <patternFill>
          <bgColor theme="0" tint="-0.14996795556505021"/>
        </patternFill>
      </fill>
    </dxf>
    <dxf>
      <fill>
        <patternFill patternType="solid">
          <bgColor theme="6" tint="0.79998168889431442"/>
        </patternFill>
      </fill>
    </dxf>
    <dxf>
      <font>
        <color rgb="FF9C0006"/>
      </font>
      <fill>
        <patternFill>
          <bgColor rgb="FFFFC7CE"/>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bgColor rgb="FFFF0000"/>
        </patternFill>
      </fill>
    </dxf>
    <dxf>
      <fill>
        <patternFill>
          <bgColor rgb="FFFF0000"/>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bgColor theme="0" tint="-0.14996795556505021"/>
        </patternFill>
      </fill>
    </dxf>
    <dxf>
      <fill>
        <patternFill>
          <bgColor theme="0" tint="-0.14996795556505021"/>
        </patternFill>
      </fill>
    </dxf>
    <dxf>
      <fill>
        <patternFill patternType="solid">
          <bgColor theme="6" tint="0.79998168889431442"/>
        </patternFill>
      </fill>
    </dxf>
    <dxf>
      <font>
        <color rgb="FF9C0006"/>
      </font>
      <fill>
        <patternFill>
          <bgColor rgb="FFFFC7CE"/>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bgColor rgb="FFFF0000"/>
        </patternFill>
      </fill>
    </dxf>
    <dxf>
      <fill>
        <patternFill>
          <bgColor rgb="FFFF0000"/>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bgColor theme="0" tint="-0.14996795556505021"/>
        </patternFill>
      </fill>
    </dxf>
    <dxf>
      <fill>
        <patternFill>
          <bgColor theme="0" tint="-0.14996795556505021"/>
        </patternFill>
      </fill>
    </dxf>
    <dxf>
      <fill>
        <patternFill patternType="solid">
          <bgColor theme="6" tint="0.79998168889431442"/>
        </patternFill>
      </fill>
    </dxf>
    <dxf>
      <font>
        <color rgb="FF9C0006"/>
      </font>
      <fill>
        <patternFill>
          <bgColor rgb="FFFFC7CE"/>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bgColor rgb="FFFF0000"/>
        </patternFill>
      </fill>
    </dxf>
    <dxf>
      <fill>
        <patternFill>
          <bgColor rgb="FFFF0000"/>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bgColor theme="0" tint="-0.14996795556505021"/>
        </patternFill>
      </fill>
    </dxf>
    <dxf>
      <fill>
        <patternFill>
          <bgColor theme="0" tint="-0.14996795556505021"/>
        </patternFill>
      </fill>
    </dxf>
    <dxf>
      <fill>
        <patternFill patternType="solid">
          <bgColor theme="6" tint="0.79998168889431442"/>
        </patternFill>
      </fill>
    </dxf>
    <dxf>
      <font>
        <color rgb="FF9C0006"/>
      </font>
      <fill>
        <patternFill>
          <bgColor rgb="FFFFC7CE"/>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bgColor rgb="FFFF0000"/>
        </patternFill>
      </fill>
    </dxf>
    <dxf>
      <fill>
        <patternFill>
          <bgColor rgb="FFFF0000"/>
        </patternFill>
      </fill>
    </dxf>
    <dxf>
      <fill>
        <patternFill patternType="solid">
          <bgColor theme="6" tint="0.79998168889431442"/>
        </patternFill>
      </fill>
    </dxf>
    <dxf>
      <fill>
        <patternFill patternType="solid">
          <bgColor theme="6" tint="0.79998168889431442"/>
        </patternFill>
      </fill>
    </dxf>
    <dxf>
      <font>
        <color auto="1"/>
      </font>
      <fill>
        <patternFill>
          <bgColor theme="9" tint="0.79998168889431442"/>
        </patternFill>
      </fill>
    </dxf>
    <dxf>
      <fill>
        <patternFill>
          <bgColor theme="9" tint="0.79998168889431442"/>
        </patternFill>
      </fill>
    </dxf>
    <dxf>
      <border>
        <left style="thin">
          <color auto="1"/>
        </left>
        <right style="thin">
          <color auto="1"/>
        </right>
        <top style="thin">
          <color auto="1"/>
        </top>
        <bottom style="thin">
          <color auto="1"/>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0000"/>
      </font>
    </dxf>
    <dxf>
      <font>
        <color rgb="FFFF0000"/>
      </font>
    </dxf>
    <dxf>
      <font>
        <color rgb="FFFF0000"/>
      </font>
    </dxf>
    <dxf>
      <font>
        <color rgb="FFFF0000"/>
      </font>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ont>
        <b/>
        <i val="0"/>
        <strike val="0"/>
        <condense val="0"/>
        <extend val="0"/>
        <outline val="0"/>
        <shadow val="0"/>
        <u val="none"/>
        <vertAlign val="baseline"/>
        <sz val="12"/>
        <color theme="1"/>
        <name val="Calibri"/>
        <family val="2"/>
        <scheme val="minor"/>
      </font>
      <numFmt numFmtId="34" formatCode="_-&quot;$&quot;* #,##0.00_-;\-&quot;$&quot;* #,##0.00_-;_-&quot;$&quot;* &quot;-&quot;??_-;_-@_-"/>
      <border diagonalUp="0" diagonalDown="0" outline="0">
        <left/>
        <right/>
        <top style="thin">
          <color indexed="64"/>
        </top>
        <bottom/>
      </border>
    </dxf>
    <dxf>
      <font>
        <b/>
        <i val="0"/>
        <strike val="0"/>
        <condense val="0"/>
        <extend val="0"/>
        <outline val="0"/>
        <shadow val="0"/>
        <u val="none"/>
        <vertAlign val="baseline"/>
        <sz val="12"/>
        <color theme="1"/>
        <name val="Calibri"/>
        <family val="2"/>
        <scheme val="minor"/>
      </font>
      <numFmt numFmtId="34" formatCode="_-&quot;$&quot;* #,##0.00_-;\-&quot;$&quot;* #,##0.00_-;_-&quot;$&quot;* &quot;-&quot;??_-;_-@_-"/>
      <fill>
        <patternFill patternType="solid">
          <fgColor indexed="64"/>
          <bgColor theme="2" tint="-9.9978637043366805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FF0000"/>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style="thin">
          <color indexed="64"/>
        </left>
        <right/>
        <top style="thin">
          <color indexed="64"/>
        </top>
        <bottom style="thin">
          <color indexed="64"/>
        </bottom>
      </border>
      <protection locked="1" hidden="0"/>
    </dxf>
    <dxf>
      <border>
        <top style="thin">
          <color indexed="64"/>
        </top>
      </border>
    </dxf>
    <dxf>
      <fill>
        <patternFill patternType="none">
          <fgColor indexed="64"/>
          <bgColor auto="1"/>
        </patternFill>
      </fill>
      <protection locked="1" hidden="0"/>
    </dxf>
    <dxf>
      <font>
        <strike val="0"/>
        <outline val="0"/>
        <shadow val="0"/>
        <u val="none"/>
        <vertAlign val="baseline"/>
        <sz val="12"/>
        <name val="Calibri"/>
        <family val="2"/>
        <scheme val="minor"/>
      </font>
      <protection locked="1" hidden="0"/>
    </dxf>
    <dxf>
      <font>
        <b/>
        <i val="0"/>
        <strike val="0"/>
        <condense val="0"/>
        <extend val="0"/>
        <outline val="0"/>
        <shadow val="0"/>
        <u val="none"/>
        <vertAlign val="baseline"/>
        <sz val="16"/>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i val="0"/>
        <strike val="0"/>
        <condense val="0"/>
        <extend val="0"/>
        <outline val="0"/>
        <shadow val="0"/>
        <u val="none"/>
        <vertAlign val="baseline"/>
        <sz val="12"/>
        <color theme="1"/>
        <name val="Calibri"/>
        <family val="2"/>
        <scheme val="minor"/>
      </font>
      <numFmt numFmtId="34" formatCode="_-&quot;$&quot;* #,##0.00_-;\-&quot;$&quot;* #,##0.00_-;_-&quot;$&quot;* &quot;-&quot;??_-;_-@_-"/>
      <border diagonalUp="0" diagonalDown="0" outline="0">
        <left/>
        <right/>
        <top style="thin">
          <color indexed="64"/>
        </top>
        <bottom/>
      </border>
    </dxf>
    <dxf>
      <font>
        <b/>
        <i val="0"/>
        <strike val="0"/>
        <condense val="0"/>
        <extend val="0"/>
        <outline val="0"/>
        <shadow val="0"/>
        <u val="none"/>
        <vertAlign val="baseline"/>
        <sz val="12"/>
        <color theme="1"/>
        <name val="Calibri"/>
        <family val="2"/>
        <scheme val="minor"/>
      </font>
      <numFmt numFmtId="34" formatCode="_-&quot;$&quot;* #,##0.00_-;\-&quot;$&quot;* #,##0.00_-;_-&quot;$&quot;* &quot;-&quot;??_-;_-@_-"/>
      <fill>
        <patternFill patternType="solid">
          <fgColor indexed="64"/>
          <bgColor theme="2" tint="-9.9978637043366805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FF0000"/>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style="thin">
          <color indexed="64"/>
        </left>
        <right/>
        <top style="thin">
          <color indexed="64"/>
        </top>
        <bottom style="thin">
          <color indexed="64"/>
        </bottom>
      </border>
      <protection locked="1" hidden="0"/>
    </dxf>
    <dxf>
      <border>
        <top style="thin">
          <color rgb="FF000000"/>
        </top>
      </border>
    </dxf>
    <dxf>
      <fill>
        <patternFill patternType="none">
          <fgColor rgb="FF000000"/>
          <bgColor auto="1"/>
        </patternFill>
      </fill>
      <protection locked="1" hidden="0"/>
    </dxf>
    <dxf>
      <font>
        <strike val="0"/>
        <outline val="0"/>
        <shadow val="0"/>
        <u val="none"/>
        <vertAlign val="baseline"/>
        <sz val="12"/>
        <name val="Calibri"/>
        <family val="2"/>
        <scheme val="none"/>
      </font>
      <protection locked="1" hidden="0"/>
    </dxf>
    <dxf>
      <font>
        <b/>
        <i val="0"/>
        <strike val="0"/>
        <condense val="0"/>
        <extend val="0"/>
        <outline val="0"/>
        <shadow val="0"/>
        <u val="none"/>
        <vertAlign val="baseline"/>
        <sz val="16"/>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i val="0"/>
        <strike val="0"/>
        <condense val="0"/>
        <extend val="0"/>
        <outline val="0"/>
        <shadow val="0"/>
        <u val="none"/>
        <vertAlign val="baseline"/>
        <sz val="12"/>
        <color theme="1"/>
        <name val="Calibri"/>
        <family val="2"/>
        <scheme val="minor"/>
      </font>
      <numFmt numFmtId="34" formatCode="_-&quot;$&quot;* #,##0.00_-;\-&quot;$&quot;* #,##0.00_-;_-&quot;$&quot;* &quot;-&quot;??_-;_-@_-"/>
      <border diagonalUp="0" diagonalDown="0" outline="0">
        <left/>
        <right/>
        <top style="thin">
          <color indexed="64"/>
        </top>
        <bottom/>
      </border>
    </dxf>
    <dxf>
      <font>
        <b/>
        <i val="0"/>
        <strike val="0"/>
        <condense val="0"/>
        <extend val="0"/>
        <outline val="0"/>
        <shadow val="0"/>
        <u val="none"/>
        <vertAlign val="baseline"/>
        <sz val="12"/>
        <color theme="1"/>
        <name val="Calibri"/>
        <family val="2"/>
        <scheme val="minor"/>
      </font>
      <numFmt numFmtId="34" formatCode="_-&quot;$&quot;* #,##0.00_-;\-&quot;$&quot;* #,##0.00_-;_-&quot;$&quot;* &quot;-&quot;??_-;_-@_-"/>
      <fill>
        <patternFill patternType="solid">
          <fgColor indexed="64"/>
          <bgColor theme="2" tint="-9.9978637043366805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FF0000"/>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style="thin">
          <color indexed="64"/>
        </left>
        <right/>
        <top style="thin">
          <color indexed="64"/>
        </top>
        <bottom style="thin">
          <color indexed="64"/>
        </bottom>
      </border>
      <protection locked="1" hidden="0"/>
    </dxf>
    <dxf>
      <border>
        <top style="thin">
          <color rgb="FF000000"/>
        </top>
      </border>
    </dxf>
    <dxf>
      <fill>
        <patternFill patternType="none">
          <fgColor rgb="FF000000"/>
          <bgColor auto="1"/>
        </patternFill>
      </fill>
      <protection locked="1" hidden="0"/>
    </dxf>
    <dxf>
      <font>
        <strike val="0"/>
        <outline val="0"/>
        <shadow val="0"/>
        <u val="none"/>
        <vertAlign val="baseline"/>
        <sz val="12"/>
        <name val="Calibri"/>
        <family val="2"/>
        <scheme val="none"/>
      </font>
      <protection locked="1" hidden="0"/>
    </dxf>
    <dxf>
      <font>
        <b/>
        <i val="0"/>
        <strike val="0"/>
        <condense val="0"/>
        <extend val="0"/>
        <outline val="0"/>
        <shadow val="0"/>
        <u val="none"/>
        <vertAlign val="baseline"/>
        <sz val="16"/>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i val="0"/>
        <strike val="0"/>
        <condense val="0"/>
        <extend val="0"/>
        <outline val="0"/>
        <shadow val="0"/>
        <u val="none"/>
        <vertAlign val="baseline"/>
        <sz val="12"/>
        <color theme="1"/>
        <name val="Calibri"/>
        <family val="2"/>
        <scheme val="minor"/>
      </font>
      <numFmt numFmtId="34" formatCode="_-&quot;$&quot;* #,##0.00_-;\-&quot;$&quot;* #,##0.00_-;_-&quot;$&quot;* &quot;-&quot;??_-;_-@_-"/>
      <border diagonalUp="0" diagonalDown="0" outline="0">
        <left/>
        <right/>
        <top style="thin">
          <color indexed="64"/>
        </top>
        <bottom/>
      </border>
    </dxf>
    <dxf>
      <font>
        <b/>
        <i val="0"/>
        <strike val="0"/>
        <condense val="0"/>
        <extend val="0"/>
        <outline val="0"/>
        <shadow val="0"/>
        <u val="none"/>
        <vertAlign val="baseline"/>
        <sz val="12"/>
        <color theme="1"/>
        <name val="Calibri"/>
        <family val="2"/>
        <scheme val="minor"/>
      </font>
      <numFmt numFmtId="34" formatCode="_-&quot;$&quot;* #,##0.00_-;\-&quot;$&quot;* #,##0.00_-;_-&quot;$&quot;* &quot;-&quot;??_-;_-@_-"/>
      <fill>
        <patternFill patternType="solid">
          <fgColor indexed="64"/>
          <bgColor theme="2" tint="-9.9978637043366805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FF0000"/>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style="thin">
          <color indexed="64"/>
        </left>
        <right/>
        <top style="thin">
          <color indexed="64"/>
        </top>
        <bottom style="thin">
          <color indexed="64"/>
        </bottom>
      </border>
      <protection locked="1" hidden="0"/>
    </dxf>
    <dxf>
      <border>
        <top style="thin">
          <color rgb="FF000000"/>
        </top>
      </border>
    </dxf>
    <dxf>
      <fill>
        <patternFill patternType="none">
          <fgColor rgb="FF000000"/>
          <bgColor auto="1"/>
        </patternFill>
      </fill>
      <protection locked="1" hidden="0"/>
    </dxf>
    <dxf>
      <font>
        <strike val="0"/>
        <outline val="0"/>
        <shadow val="0"/>
        <u val="none"/>
        <vertAlign val="baseline"/>
        <sz val="12"/>
        <name val="Calibri"/>
        <family val="2"/>
        <scheme val="none"/>
      </font>
      <protection locked="1" hidden="0"/>
    </dxf>
    <dxf>
      <font>
        <b/>
        <i val="0"/>
        <strike val="0"/>
        <condense val="0"/>
        <extend val="0"/>
        <outline val="0"/>
        <shadow val="0"/>
        <u val="none"/>
        <vertAlign val="baseline"/>
        <sz val="16"/>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i val="0"/>
        <strike val="0"/>
        <condense val="0"/>
        <extend val="0"/>
        <outline val="0"/>
        <shadow val="0"/>
        <u val="none"/>
        <vertAlign val="baseline"/>
        <sz val="12"/>
        <color theme="1"/>
        <name val="Calibri"/>
        <family val="2"/>
        <scheme val="minor"/>
      </font>
      <numFmt numFmtId="34" formatCode="_-&quot;$&quot;* #,##0.00_-;\-&quot;$&quot;* #,##0.00_-;_-&quot;$&quot;* &quot;-&quot;??_-;_-@_-"/>
      <border diagonalUp="0" diagonalDown="0" outline="0">
        <left/>
        <right/>
        <top style="thin">
          <color indexed="64"/>
        </top>
        <bottom/>
      </border>
    </dxf>
    <dxf>
      <font>
        <b/>
        <i val="0"/>
        <strike val="0"/>
        <condense val="0"/>
        <extend val="0"/>
        <outline val="0"/>
        <shadow val="0"/>
        <u val="none"/>
        <vertAlign val="baseline"/>
        <sz val="12"/>
        <color theme="1"/>
        <name val="Calibri"/>
        <family val="2"/>
        <scheme val="minor"/>
      </font>
      <numFmt numFmtId="34" formatCode="_-&quot;$&quot;* #,##0.00_-;\-&quot;$&quot;* #,##0.00_-;_-&quot;$&quot;* &quot;-&quot;??_-;_-@_-"/>
      <fill>
        <patternFill patternType="solid">
          <fgColor indexed="64"/>
          <bgColor theme="2" tint="-9.9978637043366805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FF0000"/>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style="thin">
          <color indexed="64"/>
        </left>
        <right/>
        <top style="thin">
          <color indexed="64"/>
        </top>
        <bottom style="thin">
          <color indexed="64"/>
        </bottom>
      </border>
      <protection locked="1" hidden="0"/>
    </dxf>
    <dxf>
      <border>
        <top style="thin">
          <color rgb="FF000000"/>
        </top>
      </border>
    </dxf>
    <dxf>
      <fill>
        <patternFill patternType="none">
          <fgColor rgb="FF000000"/>
          <bgColor auto="1"/>
        </patternFill>
      </fill>
      <protection locked="1" hidden="0"/>
    </dxf>
    <dxf>
      <font>
        <strike val="0"/>
        <outline val="0"/>
        <shadow val="0"/>
        <u val="none"/>
        <vertAlign val="baseline"/>
        <sz val="12"/>
        <name val="Calibri"/>
        <family val="2"/>
        <scheme val="none"/>
      </font>
      <protection locked="1" hidden="0"/>
    </dxf>
    <dxf>
      <font>
        <b/>
        <i val="0"/>
        <strike val="0"/>
        <condense val="0"/>
        <extend val="0"/>
        <outline val="0"/>
        <shadow val="0"/>
        <u val="none"/>
        <vertAlign val="baseline"/>
        <sz val="16"/>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i val="0"/>
        <strike val="0"/>
        <condense val="0"/>
        <extend val="0"/>
        <outline val="0"/>
        <shadow val="0"/>
        <u val="none"/>
        <vertAlign val="baseline"/>
        <sz val="12"/>
        <color theme="1"/>
        <name val="Calibri"/>
        <family val="2"/>
        <scheme val="minor"/>
      </font>
      <numFmt numFmtId="34" formatCode="_-&quot;$&quot;* #,##0.00_-;\-&quot;$&quot;* #,##0.00_-;_-&quot;$&quot;* &quot;-&quot;??_-;_-@_-"/>
      <border diagonalUp="0" diagonalDown="0" outline="0">
        <left/>
        <right/>
        <top style="thin">
          <color indexed="64"/>
        </top>
        <bottom/>
      </border>
    </dxf>
    <dxf>
      <font>
        <b/>
        <i val="0"/>
        <strike val="0"/>
        <condense val="0"/>
        <extend val="0"/>
        <outline val="0"/>
        <shadow val="0"/>
        <u val="none"/>
        <vertAlign val="baseline"/>
        <sz val="12"/>
        <color theme="1"/>
        <name val="Calibri"/>
        <family val="2"/>
        <scheme val="minor"/>
      </font>
      <numFmt numFmtId="34" formatCode="_-&quot;$&quot;* #,##0.00_-;\-&quot;$&quot;* #,##0.00_-;_-&quot;$&quot;* &quot;-&quot;??_-;_-@_-"/>
      <fill>
        <patternFill patternType="solid">
          <fgColor indexed="64"/>
          <bgColor theme="2" tint="-9.9978637043366805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FF0000"/>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style="thin">
          <color indexed="64"/>
        </left>
        <right/>
        <top style="thin">
          <color indexed="64"/>
        </top>
        <bottom style="thin">
          <color indexed="64"/>
        </bottom>
      </border>
      <protection locked="1" hidden="0"/>
    </dxf>
    <dxf>
      <border>
        <top style="thin">
          <color indexed="64"/>
        </top>
      </border>
    </dxf>
    <dxf>
      <fill>
        <patternFill patternType="none">
          <fgColor indexed="64"/>
          <bgColor auto="1"/>
        </patternFill>
      </fill>
      <protection locked="1" hidden="0"/>
    </dxf>
    <dxf>
      <font>
        <strike val="0"/>
        <outline val="0"/>
        <shadow val="0"/>
        <u val="none"/>
        <vertAlign val="baseline"/>
        <sz val="12"/>
        <name val="Calibri"/>
        <family val="2"/>
        <scheme val="minor"/>
      </font>
      <protection locked="1" hidden="0"/>
    </dxf>
    <dxf>
      <font>
        <b/>
        <i val="0"/>
        <strike val="0"/>
        <condense val="0"/>
        <extend val="0"/>
        <outline val="0"/>
        <shadow val="0"/>
        <u val="none"/>
        <vertAlign val="baseline"/>
        <sz val="16"/>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colors>
    <mruColors>
      <color rgb="FFEDEDED"/>
      <color rgb="FFFFCCFF"/>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4.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132716</xdr:colOff>
      <xdr:row>40</xdr:row>
      <xdr:rowOff>95249</xdr:rowOff>
    </xdr:from>
    <xdr:to>
      <xdr:col>6</xdr:col>
      <xdr:colOff>1051560</xdr:colOff>
      <xdr:row>58</xdr:row>
      <xdr:rowOff>691</xdr:rowOff>
    </xdr:to>
    <xdr:sp macro="" textlink="">
      <xdr:nvSpPr>
        <xdr:cNvPr id="2" name="Arrow: Curved Up 1">
          <a:extLst>
            <a:ext uri="{FF2B5EF4-FFF2-40B4-BE49-F238E27FC236}">
              <a16:creationId xmlns:a16="http://schemas.microsoft.com/office/drawing/2014/main" id="{3D0A0745-D3FA-49F2-9562-D0096EFFDD75}"/>
            </a:ext>
          </a:extLst>
        </xdr:cNvPr>
        <xdr:cNvSpPr/>
      </xdr:nvSpPr>
      <xdr:spPr>
        <a:xfrm rot="16200000">
          <a:off x="6463954" y="8642061"/>
          <a:ext cx="3401117" cy="2099944"/>
        </a:xfrm>
        <a:prstGeom prst="curvedUpArrow">
          <a:avLst>
            <a:gd name="adj1" fmla="val 12472"/>
            <a:gd name="adj2" fmla="val 43661"/>
            <a:gd name="adj3" fmla="val 1954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152400</xdr:colOff>
      <xdr:row>5</xdr:row>
      <xdr:rowOff>133350</xdr:rowOff>
    </xdr:from>
    <xdr:to>
      <xdr:col>26</xdr:col>
      <xdr:colOff>29382</xdr:colOff>
      <xdr:row>11</xdr:row>
      <xdr:rowOff>171623</xdr:rowOff>
    </xdr:to>
    <xdr:pic>
      <xdr:nvPicPr>
        <xdr:cNvPr id="9" name="Picture 8">
          <a:extLst>
            <a:ext uri="{FF2B5EF4-FFF2-40B4-BE49-F238E27FC236}">
              <a16:creationId xmlns:a16="http://schemas.microsoft.com/office/drawing/2014/main" id="{F659FC76-C569-8A7E-6456-82FE1ADF0AE9}"/>
            </a:ext>
          </a:extLst>
        </xdr:cNvPr>
        <xdr:cNvPicPr>
          <a:picLocks noChangeAspect="1"/>
        </xdr:cNvPicPr>
      </xdr:nvPicPr>
      <xdr:blipFill>
        <a:blip xmlns:r="http://schemas.openxmlformats.org/officeDocument/2006/relationships" r:embed="rId1"/>
        <a:stretch>
          <a:fillRect/>
        </a:stretch>
      </xdr:blipFill>
      <xdr:spPr>
        <a:xfrm>
          <a:off x="28908375" y="1276350"/>
          <a:ext cx="5782482" cy="123842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44D234C-B5DC-446C-8B5E-E2AD2A72CAC1}" name="Table132" displayName="Table132" ref="B143:D167" totalsRowCount="1" headerRowDxfId="215" dataDxfId="214" totalsRowDxfId="213" totalsRowBorderDxfId="212">
  <tableColumns count="3">
    <tableColumn id="1" xr3:uid="{BFC2C9BC-F972-4019-A858-16A959D9F5CA}" name="EXPENSES " dataDxfId="211" totalsRowDxfId="210"/>
    <tableColumn id="2" xr3:uid="{46A612E7-B9A1-4B29-A097-5F15A6679DBB}" name="Column1" dataDxfId="209" totalsRowDxfId="208"/>
    <tableColumn id="18" xr3:uid="{F34F6092-7588-4E88-B5E9-D73A1386A6D6}" name="Amounts" dataDxfId="207" totalsRowDxfId="206"/>
  </tableColumns>
  <tableStyleInfo name="TableStyleMedium2"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8304707-BB33-4190-8722-54943A261730}" name="Table1324" displayName="Table1324" ref="B143:D167" totalsRowCount="1" headerRowDxfId="205" dataDxfId="204" totalsRowDxfId="203" totalsRowBorderDxfId="202">
  <tableColumns count="3">
    <tableColumn id="1" xr3:uid="{F4752465-7AA4-4C62-9CAE-006C2A27ABF3}" name="EXPENSES " dataDxfId="201" totalsRowDxfId="200"/>
    <tableColumn id="2" xr3:uid="{DE2786CD-68A7-4080-80E6-1AF836060EBB}" name="Column1" dataDxfId="199" totalsRowDxfId="198"/>
    <tableColumn id="18" xr3:uid="{79F4037B-2006-4748-AE99-60C42DD3B72A}" name="Amounts" dataDxfId="197" totalsRowDxfId="196"/>
  </tableColumns>
  <tableStyleInfo name="TableStyleMedium2"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4360959-4E09-4D29-B3C0-E79826AB7D28}" name="Table13245" displayName="Table13245" ref="B143:D167" totalsRowCount="1" headerRowDxfId="195" dataDxfId="194" totalsRowDxfId="193" totalsRowBorderDxfId="192">
  <tableColumns count="3">
    <tableColumn id="1" xr3:uid="{66D51B23-D446-4C6A-93EA-5A1CC532B100}" name="EXPENSES " dataDxfId="191" totalsRowDxfId="190"/>
    <tableColumn id="2" xr3:uid="{94544F7A-5608-4168-96D7-2E5C548F20F9}" name="Column1" dataDxfId="189" totalsRowDxfId="188"/>
    <tableColumn id="18" xr3:uid="{4DAB0E47-6AF8-4598-9017-49AD96FA0DED}" name="Amounts" dataDxfId="187" totalsRowDxfId="186"/>
  </tableColumns>
  <tableStyleInfo name="TableStyleMedium2"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3D2B155-BB57-498F-A5F0-C70B076B9716}" name="Table132456" displayName="Table132456" ref="B143:D167" totalsRowCount="1" headerRowDxfId="185" dataDxfId="184" totalsRowDxfId="183" totalsRowBorderDxfId="182">
  <tableColumns count="3">
    <tableColumn id="1" xr3:uid="{D6274B76-698F-42FE-8BDF-E29378B89894}" name="EXPENSES " dataDxfId="181" totalsRowDxfId="180"/>
    <tableColumn id="2" xr3:uid="{0231E54B-27B2-4FCB-BD57-9F71EF8F16BA}" name="Column1" dataDxfId="179" totalsRowDxfId="178"/>
    <tableColumn id="18" xr3:uid="{1CDD8ED3-E833-4854-9591-0D580A13AF55}" name="Amounts" dataDxfId="177" totalsRowDxfId="176"/>
  </tableColumns>
  <tableStyleInfo name="TableStyleMedium2"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0139012-E396-48CB-9251-18AD82D452A3}" name="Table1324567" displayName="Table1324567" ref="B143:D167" totalsRowCount="1" headerRowDxfId="175" dataDxfId="174" totalsRowDxfId="173" totalsRowBorderDxfId="172">
  <tableColumns count="3">
    <tableColumn id="1" xr3:uid="{501EC3FD-21AE-40B6-A6F8-86E6D5F07D1B}" name="EXPENSES " dataDxfId="171" totalsRowDxfId="170"/>
    <tableColumn id="2" xr3:uid="{B29BFC3E-C355-4B2A-9E1B-828FD5AA0A94}" name="Column1" dataDxfId="169" totalsRowDxfId="168"/>
    <tableColumn id="18" xr3:uid="{C10C3458-5563-46C1-A253-FB0D29F51971}" name="Amounts" dataDxfId="167" totalsRowDxfId="166"/>
  </tableColumns>
  <tableStyleInfo name="TableStyleMedium2"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9ABF761-8635-49B5-ABB8-52216F9B3318}" name="Table13" displayName="Table13" ref="B20:D44" totalsRowCount="1" headerRowDxfId="165" dataDxfId="164" totalsRowDxfId="163" totalsRowBorderDxfId="162">
  <tableColumns count="3">
    <tableColumn id="1" xr3:uid="{03897965-07E2-4F53-AEFE-78CCBF3D6C4E}" name="EXPENSES " dataDxfId="161" totalsRowDxfId="160"/>
    <tableColumn id="2" xr3:uid="{AAE987F6-671F-4463-AFF4-CE2886E5BE6D}" name="Column1" dataDxfId="159" totalsRowDxfId="158"/>
    <tableColumn id="18" xr3:uid="{DBB174F4-13C7-40E9-8F23-B1B0BF5CA08E}" name="Amounts" dataDxfId="157" totalsRowDxfId="156"/>
  </tableColumns>
  <tableStyleInfo name="TableStyleMedium2" showFirstColumn="1"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eelregion.ca/business/early-years-child-care-providers/funding-support-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mailto:navdip_atwal@hotmail.com"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4.v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navdip_atwal@hotmail.com"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5.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mailto:navdip_atwal@hotmail.com"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6.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navdip_atwal@hotmail.com"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navdip_atwal@hotmail.co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E90FC-451B-49AA-B54A-BAB3CAE5A8D0}">
  <sheetPr>
    <tabColor theme="9" tint="0.59999389629810485"/>
  </sheetPr>
  <dimension ref="A1:S119"/>
  <sheetViews>
    <sheetView showGridLines="0" tabSelected="1" zoomScale="85" zoomScaleNormal="85" workbookViewId="0">
      <selection activeCell="D6" sqref="D6"/>
    </sheetView>
  </sheetViews>
  <sheetFormatPr defaultRowHeight="14.5"/>
  <cols>
    <col min="1" max="1" width="2.7265625" customWidth="1"/>
    <col min="2" max="2" width="46" customWidth="1"/>
    <col min="3" max="3" width="7.7265625" customWidth="1"/>
    <col min="4" max="4" width="58" customWidth="1"/>
    <col min="5" max="5" width="9" style="3" customWidth="1"/>
    <col min="6" max="6" width="9.1796875" style="3" customWidth="1"/>
    <col min="7" max="7" width="29.7265625" style="3" customWidth="1"/>
    <col min="8" max="8" width="17" style="3" customWidth="1"/>
    <col min="9" max="9" width="9.453125" style="3" customWidth="1"/>
    <col min="10" max="10" width="27.7265625" style="3" customWidth="1"/>
    <col min="11" max="11" width="15.26953125" style="3" customWidth="1"/>
    <col min="12" max="12" width="11.453125" style="3" customWidth="1"/>
    <col min="13" max="18" width="9.1796875" style="3" customWidth="1"/>
  </cols>
  <sheetData>
    <row r="1" spans="1:19" s="3" customFormat="1" ht="26">
      <c r="B1" s="1014" t="s">
        <v>93</v>
      </c>
      <c r="C1" s="1015"/>
      <c r="D1" s="1015"/>
      <c r="E1" s="1015"/>
      <c r="F1" s="1015"/>
      <c r="G1" s="1015"/>
      <c r="H1" s="1015"/>
      <c r="I1" s="1015"/>
      <c r="J1" s="1016"/>
    </row>
    <row r="2" spans="1:19" s="3" customFormat="1" ht="26.5" thickBot="1">
      <c r="B2" s="1017" t="s">
        <v>899</v>
      </c>
      <c r="C2" s="1018"/>
      <c r="D2" s="1018"/>
      <c r="E2" s="1018"/>
      <c r="F2" s="1018"/>
      <c r="G2" s="1018"/>
      <c r="H2" s="1018"/>
      <c r="I2" s="1018"/>
      <c r="J2" s="1019"/>
    </row>
    <row r="3" spans="1:19" s="3" customFormat="1" ht="14.5" customHeight="1" thickBot="1">
      <c r="G3"/>
      <c r="H3"/>
      <c r="I3"/>
      <c r="S3" s="3" t="s">
        <v>348</v>
      </c>
    </row>
    <row r="4" spans="1:19" s="3" customFormat="1" ht="18.5">
      <c r="B4" s="1027" t="s">
        <v>94</v>
      </c>
      <c r="C4" s="1028"/>
      <c r="D4" s="1028"/>
      <c r="E4" s="1029"/>
      <c r="I4"/>
      <c r="J4"/>
      <c r="K4"/>
      <c r="L4"/>
      <c r="M4"/>
      <c r="N4"/>
      <c r="O4"/>
      <c r="P4"/>
      <c r="Q4"/>
    </row>
    <row r="5" spans="1:19" s="3" customFormat="1">
      <c r="B5" s="277"/>
      <c r="D5" s="288"/>
      <c r="E5" s="289"/>
      <c r="I5"/>
      <c r="J5"/>
      <c r="K5"/>
      <c r="L5"/>
      <c r="M5"/>
      <c r="N5"/>
      <c r="O5"/>
      <c r="P5"/>
      <c r="Q5"/>
    </row>
    <row r="6" spans="1:19" ht="15.5">
      <c r="A6" s="3"/>
      <c r="B6" s="290" t="s">
        <v>298</v>
      </c>
      <c r="C6" s="291" t="s">
        <v>95</v>
      </c>
      <c r="D6" s="283"/>
      <c r="E6" s="289"/>
      <c r="I6"/>
      <c r="J6"/>
      <c r="K6"/>
      <c r="L6"/>
      <c r="M6"/>
      <c r="N6"/>
      <c r="O6"/>
      <c r="P6"/>
      <c r="Q6"/>
    </row>
    <row r="7" spans="1:19" ht="15.5">
      <c r="A7" s="3"/>
      <c r="B7" s="290" t="s">
        <v>299</v>
      </c>
      <c r="C7" s="291" t="s">
        <v>96</v>
      </c>
      <c r="D7" s="283"/>
      <c r="E7" s="289"/>
      <c r="F7"/>
      <c r="G7"/>
      <c r="I7"/>
      <c r="J7"/>
      <c r="K7"/>
      <c r="L7"/>
      <c r="M7"/>
      <c r="N7"/>
      <c r="O7"/>
      <c r="P7"/>
      <c r="Q7"/>
    </row>
    <row r="8" spans="1:19" ht="15.5">
      <c r="A8" s="3"/>
      <c r="B8" s="290" t="s">
        <v>389</v>
      </c>
      <c r="C8" s="291" t="s">
        <v>97</v>
      </c>
      <c r="D8" s="283"/>
      <c r="E8" s="56"/>
      <c r="F8"/>
      <c r="G8"/>
      <c r="H8"/>
      <c r="I8"/>
      <c r="J8"/>
      <c r="K8"/>
      <c r="L8"/>
      <c r="M8"/>
      <c r="N8"/>
      <c r="O8"/>
      <c r="P8"/>
      <c r="Q8"/>
    </row>
    <row r="9" spans="1:19" ht="15.5">
      <c r="A9" s="3"/>
      <c r="B9" s="290" t="s">
        <v>98</v>
      </c>
      <c r="C9" s="291" t="s">
        <v>99</v>
      </c>
      <c r="D9" s="282"/>
      <c r="E9" s="56"/>
      <c r="F9"/>
      <c r="G9"/>
      <c r="H9"/>
      <c r="I9"/>
      <c r="J9"/>
      <c r="K9"/>
      <c r="L9"/>
      <c r="M9"/>
      <c r="N9"/>
      <c r="O9"/>
      <c r="P9"/>
      <c r="Q9"/>
    </row>
    <row r="10" spans="1:19" ht="15.5">
      <c r="A10" s="3"/>
      <c r="B10" s="290" t="s">
        <v>100</v>
      </c>
      <c r="C10" s="291" t="s">
        <v>101</v>
      </c>
      <c r="D10" s="282"/>
      <c r="E10" s="56"/>
      <c r="F10"/>
      <c r="G10"/>
      <c r="H10"/>
      <c r="I10"/>
      <c r="J10"/>
      <c r="K10"/>
      <c r="L10"/>
      <c r="M10"/>
      <c r="N10"/>
      <c r="O10"/>
      <c r="P10"/>
      <c r="Q10"/>
    </row>
    <row r="11" spans="1:19" ht="15.5">
      <c r="A11" s="3"/>
      <c r="B11" s="290" t="s">
        <v>102</v>
      </c>
      <c r="C11" s="291" t="s">
        <v>780</v>
      </c>
      <c r="D11" s="435"/>
      <c r="E11" s="289"/>
      <c r="I11"/>
      <c r="J11"/>
      <c r="K11"/>
      <c r="L11"/>
      <c r="M11"/>
      <c r="N11"/>
      <c r="O11"/>
      <c r="P11"/>
      <c r="Q11"/>
    </row>
    <row r="12" spans="1:19" ht="15.5">
      <c r="A12" s="3"/>
      <c r="B12" s="290" t="s">
        <v>768</v>
      </c>
      <c r="C12" s="291" t="s">
        <v>781</v>
      </c>
      <c r="D12" s="435"/>
      <c r="E12" s="56"/>
      <c r="F12"/>
      <c r="G12"/>
      <c r="I12"/>
      <c r="J12"/>
      <c r="K12"/>
      <c r="L12"/>
      <c r="M12"/>
      <c r="N12"/>
      <c r="O12"/>
      <c r="P12"/>
      <c r="Q12"/>
    </row>
    <row r="13" spans="1:19" ht="15.5">
      <c r="A13" s="3"/>
      <c r="B13" s="294" t="s">
        <v>109</v>
      </c>
      <c r="C13" s="291" t="s">
        <v>103</v>
      </c>
      <c r="D13" s="976"/>
      <c r="E13" s="289"/>
      <c r="I13"/>
      <c r="J13"/>
      <c r="K13"/>
      <c r="L13"/>
      <c r="M13"/>
      <c r="N13"/>
      <c r="O13"/>
      <c r="P13"/>
      <c r="Q13"/>
    </row>
    <row r="14" spans="1:19" ht="15.5">
      <c r="A14" s="3"/>
      <c r="B14" s="290" t="s">
        <v>728</v>
      </c>
      <c r="C14" s="291" t="s">
        <v>104</v>
      </c>
      <c r="D14" s="282"/>
      <c r="E14" s="289"/>
      <c r="I14"/>
      <c r="J14"/>
      <c r="K14"/>
      <c r="L14"/>
      <c r="M14"/>
      <c r="N14"/>
      <c r="O14"/>
      <c r="P14"/>
      <c r="Q14"/>
    </row>
    <row r="15" spans="1:19" ht="15.5">
      <c r="A15" s="3"/>
      <c r="B15" s="290" t="s">
        <v>729</v>
      </c>
      <c r="C15" s="291" t="s">
        <v>105</v>
      </c>
      <c r="D15" s="977"/>
      <c r="E15" s="289"/>
      <c r="I15"/>
      <c r="J15"/>
      <c r="K15"/>
      <c r="L15"/>
      <c r="M15"/>
      <c r="N15"/>
      <c r="O15"/>
      <c r="P15"/>
      <c r="Q15"/>
    </row>
    <row r="16" spans="1:19" ht="15.5">
      <c r="A16" s="3"/>
      <c r="B16" s="290" t="s">
        <v>730</v>
      </c>
      <c r="C16" s="291" t="s">
        <v>782</v>
      </c>
      <c r="D16" s="883"/>
      <c r="E16" s="289"/>
      <c r="I16"/>
      <c r="J16"/>
      <c r="K16"/>
      <c r="L16"/>
      <c r="M16"/>
      <c r="N16"/>
      <c r="O16"/>
      <c r="P16"/>
      <c r="Q16"/>
    </row>
    <row r="17" spans="1:17" ht="15.5">
      <c r="A17" s="3"/>
      <c r="B17" s="290" t="s">
        <v>731</v>
      </c>
      <c r="C17" s="291" t="s">
        <v>284</v>
      </c>
      <c r="D17" s="282"/>
      <c r="E17" s="289"/>
      <c r="I17"/>
      <c r="J17"/>
      <c r="K17"/>
      <c r="L17"/>
      <c r="M17"/>
      <c r="N17"/>
      <c r="O17"/>
      <c r="P17"/>
      <c r="Q17"/>
    </row>
    <row r="18" spans="1:17" ht="15" thickBot="1">
      <c r="A18" s="3"/>
      <c r="B18" s="277"/>
      <c r="C18" s="3"/>
      <c r="D18" s="3"/>
      <c r="E18" s="289"/>
      <c r="I18"/>
      <c r="J18"/>
      <c r="K18"/>
      <c r="L18"/>
      <c r="M18"/>
      <c r="N18"/>
      <c r="O18"/>
      <c r="P18"/>
      <c r="Q18"/>
    </row>
    <row r="19" spans="1:17" ht="19" thickBot="1">
      <c r="A19" s="3"/>
      <c r="B19" s="1065" t="s">
        <v>602</v>
      </c>
      <c r="C19" s="1066"/>
      <c r="D19" s="1066"/>
      <c r="E19" s="1067"/>
      <c r="I19"/>
      <c r="J19"/>
      <c r="K19"/>
      <c r="L19"/>
      <c r="M19"/>
      <c r="N19"/>
      <c r="O19"/>
      <c r="P19"/>
      <c r="Q19"/>
    </row>
    <row r="20" spans="1:17" ht="15" thickBot="1">
      <c r="A20" s="3"/>
      <c r="B20" s="295"/>
      <c r="C20" s="275" t="str">
        <f>IF(AND(D17="",'A6. Operations_Consolidated'!F8=""),"WARNING: Signing Officer and License Number are needed to complete attestation.","")</f>
        <v>WARNING: Signing Officer and License Number are needed to complete attestation.</v>
      </c>
      <c r="D20" s="276"/>
      <c r="E20" s="289"/>
      <c r="I20"/>
      <c r="J20"/>
      <c r="K20"/>
      <c r="L20"/>
      <c r="M20"/>
      <c r="N20"/>
      <c r="O20"/>
      <c r="P20"/>
      <c r="Q20"/>
    </row>
    <row r="21" spans="1:17" ht="15" customHeight="1">
      <c r="A21" s="3"/>
      <c r="B21" s="296" t="s">
        <v>801</v>
      </c>
      <c r="C21" s="1030" t="str">
        <f>IF(D17="","","I, "&amp;D17&amp;", confirm that:")</f>
        <v/>
      </c>
      <c r="D21" s="1031"/>
      <c r="E21" s="289"/>
      <c r="G21"/>
      <c r="I21"/>
      <c r="J21"/>
      <c r="K21"/>
      <c r="L21"/>
      <c r="M21"/>
      <c r="N21"/>
      <c r="O21"/>
      <c r="P21"/>
      <c r="Q21"/>
    </row>
    <row r="22" spans="1:17" ht="27" customHeight="1">
      <c r="A22" s="3"/>
      <c r="B22" s="78"/>
      <c r="C22" s="1032" t="str">
        <f>IF(D17="",""," I have signing authority for the licenses associated with the centre in Peel called "&amp;D6&amp;".")</f>
        <v/>
      </c>
      <c r="D22" s="1033"/>
      <c r="E22" s="289"/>
      <c r="F22"/>
      <c r="G22"/>
      <c r="H22"/>
    </row>
    <row r="23" spans="1:17" ht="69" customHeight="1">
      <c r="A23" s="3"/>
      <c r="B23" s="78"/>
      <c r="C23" s="1032" t="str">
        <f>IF(D17="","","The information contained in this excel workbook for the reporting year ended " &amp; TEXT(D8,"mmmm dd, yyyy") &amp; " is accurate and a true reflection of the eligible costs incurred by the licensee for which cost-based funding was used.")</f>
        <v/>
      </c>
      <c r="D23" s="1033"/>
      <c r="E23" s="289"/>
      <c r="F23"/>
      <c r="G23"/>
      <c r="H23"/>
    </row>
    <row r="24" spans="1:17" ht="50.25" customHeight="1" thickBot="1">
      <c r="A24" s="3"/>
      <c r="B24" s="78"/>
      <c r="C24" s="1034" t="str">
        <f>IF(D17="","","Cost-based allocation funding was used by the licensee to cover eligible costs only in accordance with the parameters established by "&amp;D7&amp;". ")</f>
        <v/>
      </c>
      <c r="D24" s="1035"/>
      <c r="E24" s="289"/>
      <c r="F24"/>
      <c r="G24"/>
      <c r="H24" s="7"/>
      <c r="I24"/>
    </row>
    <row r="25" spans="1:17" ht="15.5">
      <c r="A25" s="3"/>
      <c r="B25" s="78"/>
      <c r="C25" s="14"/>
      <c r="D25" s="297"/>
      <c r="E25" s="289"/>
      <c r="F25"/>
      <c r="G25"/>
      <c r="H25" s="271"/>
      <c r="I25"/>
      <c r="J25"/>
    </row>
    <row r="26" spans="1:17" ht="15.5">
      <c r="A26" s="3"/>
      <c r="B26" s="298" t="s">
        <v>605</v>
      </c>
      <c r="C26" s="291" t="s">
        <v>785</v>
      </c>
      <c r="D26" s="441"/>
      <c r="E26" s="56"/>
      <c r="F26"/>
      <c r="G26"/>
      <c r="H26"/>
      <c r="I26"/>
    </row>
    <row r="27" spans="1:17" ht="15.5">
      <c r="A27" s="3"/>
      <c r="B27" s="299"/>
      <c r="C27" s="14"/>
      <c r="D27" s="86"/>
      <c r="E27" s="300"/>
      <c r="F27" s="272"/>
      <c r="G27" s="273"/>
      <c r="H27" s="273"/>
      <c r="I27" s="301"/>
    </row>
    <row r="28" spans="1:17" ht="15.5">
      <c r="A28" s="3"/>
      <c r="B28" s="298" t="s">
        <v>732</v>
      </c>
      <c r="C28" s="291" t="s">
        <v>300</v>
      </c>
      <c r="D28" s="442"/>
      <c r="E28" s="300"/>
      <c r="F28" s="274"/>
      <c r="G28" s="273"/>
      <c r="H28" s="273"/>
      <c r="I28" s="301"/>
    </row>
    <row r="29" spans="1:17" ht="15.5">
      <c r="A29" s="3"/>
      <c r="B29" s="299"/>
      <c r="C29" s="14"/>
      <c r="D29" s="14"/>
      <c r="E29" s="300"/>
      <c r="F29" s="273"/>
      <c r="G29" s="273"/>
      <c r="H29" s="273"/>
      <c r="I29" s="301"/>
    </row>
    <row r="30" spans="1:17" ht="15" thickBot="1">
      <c r="A30" s="3"/>
      <c r="B30" s="302"/>
      <c r="C30" s="303"/>
      <c r="D30" s="303"/>
      <c r="E30" s="304"/>
      <c r="F30" s="274"/>
      <c r="G30" s="274"/>
      <c r="H30" s="274"/>
      <c r="I30" s="301"/>
    </row>
    <row r="31" spans="1:17" ht="15" thickBot="1">
      <c r="A31" s="3"/>
      <c r="E31" s="8"/>
      <c r="F31" s="274"/>
      <c r="G31" s="274"/>
      <c r="H31" s="274"/>
      <c r="I31" s="301"/>
    </row>
    <row r="32" spans="1:17" ht="15" customHeight="1" thickBot="1">
      <c r="A32" s="3"/>
      <c r="B32" s="933" t="s">
        <v>825</v>
      </c>
      <c r="C32" s="1062" t="s">
        <v>823</v>
      </c>
      <c r="D32" s="1063"/>
      <c r="E32" s="1064"/>
      <c r="F32" s="274"/>
      <c r="H32" s="274"/>
      <c r="I32" s="301"/>
    </row>
    <row r="33" spans="1:13" ht="19" hidden="1" thickBot="1">
      <c r="A33" s="3"/>
      <c r="B33" s="305" t="s">
        <v>824</v>
      </c>
      <c r="C33" s="306"/>
      <c r="D33" s="307"/>
      <c r="E33" s="308"/>
      <c r="F33" s="274"/>
      <c r="H33" s="274"/>
      <c r="I33" s="301"/>
    </row>
    <row r="34" spans="1:13">
      <c r="A34" s="3"/>
      <c r="E34" s="8"/>
      <c r="F34" s="274"/>
      <c r="G34" s="274"/>
      <c r="H34" s="274"/>
      <c r="I34" s="301"/>
    </row>
    <row r="35" spans="1:13">
      <c r="A35" s="3"/>
      <c r="C35" s="309"/>
      <c r="D35" s="3"/>
    </row>
    <row r="36" spans="1:13" s="3" customFormat="1" ht="17.5" customHeight="1">
      <c r="A36" s="292"/>
      <c r="B36" s="1077" t="s">
        <v>906</v>
      </c>
      <c r="C36" s="1078"/>
      <c r="D36" s="1078"/>
      <c r="E36" s="1078"/>
      <c r="F36" s="1078"/>
      <c r="G36" s="1078"/>
      <c r="H36" s="1078"/>
      <c r="I36" s="1078"/>
      <c r="J36" s="1078"/>
      <c r="K36" s="1078"/>
      <c r="L36" s="1078"/>
      <c r="M36" s="1078"/>
    </row>
    <row r="37" spans="1:13" s="3" customFormat="1" ht="15" customHeight="1">
      <c r="A37" s="292"/>
      <c r="B37" s="292"/>
    </row>
    <row r="38" spans="1:13" s="3" customFormat="1" ht="20.25" customHeight="1">
      <c r="A38" s="292"/>
      <c r="B38" s="1023" t="s">
        <v>733</v>
      </c>
      <c r="C38" s="1023"/>
      <c r="D38" s="310" t="s">
        <v>325</v>
      </c>
      <c r="E38" s="1023" t="s">
        <v>0</v>
      </c>
      <c r="F38" s="1023"/>
      <c r="G38" s="1023"/>
      <c r="H38" s="1023"/>
      <c r="I38" s="1023"/>
      <c r="J38" s="1023"/>
      <c r="K38" s="1023"/>
      <c r="L38" s="1023"/>
      <c r="M38" s="1023"/>
    </row>
    <row r="39" spans="1:13" s="3" customFormat="1" ht="47.25" customHeight="1">
      <c r="A39" s="292"/>
      <c r="B39" s="1049" t="s">
        <v>962</v>
      </c>
      <c r="C39" s="1049"/>
      <c r="D39" s="983" t="s">
        <v>326</v>
      </c>
      <c r="E39" s="1020" t="s">
        <v>462</v>
      </c>
      <c r="F39" s="1021"/>
      <c r="G39" s="1021"/>
      <c r="H39" s="1021"/>
      <c r="I39" s="1021"/>
      <c r="J39" s="1021"/>
      <c r="K39" s="1021"/>
      <c r="L39" s="1021"/>
      <c r="M39" s="1022"/>
    </row>
    <row r="40" spans="1:13" s="3" customFormat="1" ht="33.75" customHeight="1">
      <c r="A40" s="292"/>
      <c r="B40" s="1041" t="s">
        <v>327</v>
      </c>
      <c r="C40" s="1042"/>
      <c r="D40" s="1038" t="s">
        <v>326</v>
      </c>
      <c r="E40" s="1020" t="s">
        <v>955</v>
      </c>
      <c r="F40" s="1021"/>
      <c r="G40" s="1021"/>
      <c r="H40" s="1021"/>
      <c r="I40" s="1021"/>
      <c r="J40" s="1021"/>
      <c r="K40" s="1021"/>
      <c r="L40" s="1021"/>
      <c r="M40" s="1022"/>
    </row>
    <row r="41" spans="1:13" s="3" customFormat="1">
      <c r="A41" s="292"/>
      <c r="B41" s="1043"/>
      <c r="C41" s="1044"/>
      <c r="D41" s="1039"/>
      <c r="E41" s="1052" t="s">
        <v>956</v>
      </c>
      <c r="F41" s="1053"/>
      <c r="G41" s="1053"/>
      <c r="H41" s="1053"/>
      <c r="I41" s="1053"/>
      <c r="J41" s="1053"/>
      <c r="K41" s="1053"/>
      <c r="L41" s="1053"/>
      <c r="M41" s="1054"/>
    </row>
    <row r="42" spans="1:13" s="3" customFormat="1" ht="53.25" customHeight="1">
      <c r="A42" s="292"/>
      <c r="B42" s="1045"/>
      <c r="C42" s="1046"/>
      <c r="D42" s="1040"/>
      <c r="E42" s="1055"/>
      <c r="F42" s="1056"/>
      <c r="G42" s="1056"/>
      <c r="H42" s="1056"/>
      <c r="I42" s="1056"/>
      <c r="J42" s="1056"/>
      <c r="K42" s="1056"/>
      <c r="L42" s="1056"/>
      <c r="M42" s="1057"/>
    </row>
    <row r="43" spans="1:13" s="312" customFormat="1" ht="57" customHeight="1">
      <c r="A43" s="311"/>
      <c r="B43" s="1047" t="s">
        <v>963</v>
      </c>
      <c r="C43" s="1047"/>
      <c r="D43" s="984" t="s">
        <v>326</v>
      </c>
      <c r="E43" s="1020" t="s">
        <v>816</v>
      </c>
      <c r="F43" s="1021"/>
      <c r="G43" s="1021"/>
      <c r="H43" s="1021"/>
      <c r="I43" s="1021"/>
      <c r="J43" s="1021"/>
      <c r="K43" s="1021"/>
      <c r="L43" s="1021"/>
      <c r="M43" s="1022"/>
    </row>
    <row r="44" spans="1:13" s="312" customFormat="1" ht="32.25" customHeight="1">
      <c r="A44" s="311"/>
      <c r="B44" s="1047" t="s">
        <v>931</v>
      </c>
      <c r="C44" s="1047"/>
      <c r="D44" s="984" t="s">
        <v>326</v>
      </c>
      <c r="E44" s="1020" t="s">
        <v>329</v>
      </c>
      <c r="F44" s="1021"/>
      <c r="G44" s="1021"/>
      <c r="H44" s="1021"/>
      <c r="I44" s="1021"/>
      <c r="J44" s="1021"/>
      <c r="K44" s="1021"/>
      <c r="L44" s="1021"/>
      <c r="M44" s="1022"/>
    </row>
    <row r="45" spans="1:13" s="312" customFormat="1" ht="32.25" customHeight="1">
      <c r="A45" s="311"/>
      <c r="B45" s="1047" t="s">
        <v>783</v>
      </c>
      <c r="C45" s="1047"/>
      <c r="D45" s="984" t="s">
        <v>326</v>
      </c>
      <c r="E45" s="1020" t="s">
        <v>463</v>
      </c>
      <c r="F45" s="1021"/>
      <c r="G45" s="1021"/>
      <c r="H45" s="1021"/>
      <c r="I45" s="1021"/>
      <c r="J45" s="1021"/>
      <c r="K45" s="1021"/>
      <c r="L45" s="1021"/>
      <c r="M45" s="1022"/>
    </row>
    <row r="46" spans="1:13" s="312" customFormat="1" ht="38.5" customHeight="1">
      <c r="A46" s="311"/>
      <c r="B46" s="1047" t="s">
        <v>932</v>
      </c>
      <c r="C46" s="1047"/>
      <c r="D46" s="984" t="s">
        <v>326</v>
      </c>
      <c r="E46" s="1020" t="s">
        <v>957</v>
      </c>
      <c r="F46" s="1021"/>
      <c r="G46" s="1021"/>
      <c r="H46" s="1021"/>
      <c r="I46" s="1021"/>
      <c r="J46" s="1021"/>
      <c r="K46" s="1021"/>
      <c r="L46" s="1021"/>
      <c r="M46" s="1022"/>
    </row>
    <row r="47" spans="1:13" s="312" customFormat="1" ht="38.5" customHeight="1">
      <c r="A47" s="311"/>
      <c r="B47" s="1061" t="s">
        <v>933</v>
      </c>
      <c r="C47" s="1061"/>
      <c r="D47" s="985" t="s">
        <v>330</v>
      </c>
      <c r="E47" s="1074" t="s">
        <v>934</v>
      </c>
      <c r="F47" s="1075"/>
      <c r="G47" s="1075"/>
      <c r="H47" s="1075"/>
      <c r="I47" s="1075"/>
      <c r="J47" s="1075"/>
      <c r="K47" s="1075"/>
      <c r="L47" s="1075"/>
      <c r="M47" s="1076"/>
    </row>
    <row r="48" spans="1:13" s="312" customFormat="1" ht="32.25" customHeight="1">
      <c r="A48" s="311"/>
      <c r="B48" s="1061" t="s">
        <v>784</v>
      </c>
      <c r="C48" s="1061"/>
      <c r="D48" s="985" t="s">
        <v>330</v>
      </c>
      <c r="E48" s="1020" t="s">
        <v>958</v>
      </c>
      <c r="F48" s="1021"/>
      <c r="G48" s="1021"/>
      <c r="H48" s="1021"/>
      <c r="I48" s="1021"/>
      <c r="J48" s="1021"/>
      <c r="K48" s="1021"/>
      <c r="L48" s="1021"/>
      <c r="M48" s="1022"/>
    </row>
    <row r="49" spans="1:18" s="312" customFormat="1" ht="39.75" customHeight="1">
      <c r="A49" s="311"/>
      <c r="B49" s="1061" t="s">
        <v>446</v>
      </c>
      <c r="C49" s="1061"/>
      <c r="D49" s="313" t="s">
        <v>330</v>
      </c>
      <c r="E49" s="1058" t="s">
        <v>464</v>
      </c>
      <c r="F49" s="1059"/>
      <c r="G49" s="1059"/>
      <c r="H49" s="1059"/>
      <c r="I49" s="1059"/>
      <c r="J49" s="1059"/>
      <c r="K49" s="1059"/>
      <c r="L49" s="1059"/>
      <c r="M49" s="1060"/>
    </row>
    <row r="50" spans="1:18" s="315" customFormat="1" ht="54.75" customHeight="1">
      <c r="A50" s="314"/>
      <c r="B50" s="1050" t="s">
        <v>447</v>
      </c>
      <c r="C50" s="1051"/>
      <c r="D50" s="313" t="s">
        <v>833</v>
      </c>
      <c r="E50" s="1020" t="s">
        <v>817</v>
      </c>
      <c r="F50" s="1021"/>
      <c r="G50" s="1021"/>
      <c r="H50" s="1021"/>
      <c r="I50" s="1021"/>
      <c r="J50" s="1021"/>
      <c r="K50" s="1021"/>
      <c r="L50" s="1021"/>
      <c r="M50" s="1022"/>
    </row>
    <row r="51" spans="1:18" s="315" customFormat="1" ht="39" customHeight="1">
      <c r="A51" s="314"/>
      <c r="B51" s="1050" t="s">
        <v>395</v>
      </c>
      <c r="C51" s="1051"/>
      <c r="D51" s="313" t="s">
        <v>396</v>
      </c>
      <c r="E51" s="1020" t="s">
        <v>940</v>
      </c>
      <c r="F51" s="1021"/>
      <c r="G51" s="1021"/>
      <c r="H51" s="1021"/>
      <c r="I51" s="1021"/>
      <c r="J51" s="1021"/>
      <c r="K51" s="1021"/>
      <c r="L51" s="1021"/>
      <c r="M51" s="1022"/>
    </row>
    <row r="52" spans="1:18" s="315" customFormat="1" ht="39" customHeight="1">
      <c r="A52" s="314"/>
      <c r="B52" s="1036" t="s">
        <v>770</v>
      </c>
      <c r="C52" s="1037"/>
      <c r="D52" s="316" t="s">
        <v>396</v>
      </c>
      <c r="E52" s="1068" t="s">
        <v>802</v>
      </c>
      <c r="F52" s="1069"/>
      <c r="G52" s="1069"/>
      <c r="H52" s="1069"/>
      <c r="I52" s="1069"/>
      <c r="J52" s="1069"/>
      <c r="K52" s="1069"/>
      <c r="L52" s="1069"/>
      <c r="M52" s="1070"/>
    </row>
    <row r="53" spans="1:18" s="315" customFormat="1" ht="39" customHeight="1">
      <c r="A53" s="314"/>
      <c r="B53" s="1036" t="s">
        <v>771</v>
      </c>
      <c r="C53" s="1037"/>
      <c r="D53" s="316" t="s">
        <v>396</v>
      </c>
      <c r="E53" s="1071"/>
      <c r="F53" s="1072"/>
      <c r="G53" s="1072"/>
      <c r="H53" s="1072"/>
      <c r="I53" s="1072"/>
      <c r="J53" s="1072"/>
      <c r="K53" s="1072"/>
      <c r="L53" s="1072"/>
      <c r="M53" s="1073"/>
    </row>
    <row r="54" spans="1:18">
      <c r="A54" s="293"/>
      <c r="B54" s="293"/>
      <c r="N54"/>
      <c r="O54"/>
      <c r="P54"/>
      <c r="Q54"/>
      <c r="R54"/>
    </row>
    <row r="55" spans="1:18" ht="15" thickBot="1">
      <c r="A55" s="293"/>
      <c r="B55" s="293"/>
      <c r="N55"/>
      <c r="O55"/>
      <c r="P55"/>
      <c r="Q55"/>
      <c r="R55"/>
    </row>
    <row r="56" spans="1:18" ht="19" thickBot="1">
      <c r="B56" s="1024" t="s">
        <v>106</v>
      </c>
      <c r="C56" s="1025"/>
      <c r="D56" s="1026"/>
      <c r="E56"/>
      <c r="F56"/>
      <c r="G56"/>
      <c r="H56"/>
      <c r="I56"/>
      <c r="J56"/>
      <c r="K56"/>
      <c r="L56"/>
      <c r="M56"/>
      <c r="N56"/>
      <c r="O56"/>
      <c r="P56"/>
      <c r="Q56"/>
    </row>
    <row r="57" spans="1:18">
      <c r="A57" s="3"/>
      <c r="B57" s="3"/>
      <c r="C57" s="3"/>
      <c r="D57" s="288"/>
      <c r="I57"/>
      <c r="J57"/>
      <c r="K57"/>
      <c r="L57"/>
      <c r="M57"/>
      <c r="N57"/>
      <c r="O57"/>
      <c r="P57"/>
      <c r="Q57"/>
    </row>
    <row r="58" spans="1:18">
      <c r="A58" s="3"/>
      <c r="B58" s="309" t="s">
        <v>107</v>
      </c>
      <c r="C58" s="3"/>
      <c r="D58" s="288"/>
    </row>
    <row r="59" spans="1:18">
      <c r="A59" s="3"/>
      <c r="B59" s="3"/>
      <c r="C59" s="3"/>
      <c r="D59" s="288"/>
      <c r="F59"/>
      <c r="G59"/>
      <c r="H59"/>
    </row>
    <row r="60" spans="1:18">
      <c r="A60" s="3"/>
      <c r="B60" s="317" t="s">
        <v>108</v>
      </c>
      <c r="C60" s="1048"/>
      <c r="D60" s="1048"/>
      <c r="F60"/>
      <c r="G60"/>
      <c r="H60"/>
    </row>
    <row r="61" spans="1:18">
      <c r="A61" s="3"/>
      <c r="B61" s="318" t="s">
        <v>110</v>
      </c>
      <c r="C61" s="319" t="s">
        <v>800</v>
      </c>
      <c r="D61" s="320"/>
      <c r="F61"/>
      <c r="G61"/>
      <c r="H61"/>
    </row>
    <row r="62" spans="1:18">
      <c r="A62" s="293"/>
      <c r="B62" s="293"/>
      <c r="N62"/>
      <c r="O62"/>
      <c r="P62"/>
      <c r="Q62"/>
      <c r="R62"/>
    </row>
    <row r="63" spans="1:18">
      <c r="A63" s="293"/>
      <c r="B63" s="293"/>
      <c r="N63"/>
      <c r="O63"/>
      <c r="P63"/>
      <c r="Q63"/>
      <c r="R63"/>
    </row>
    <row r="64" spans="1:18">
      <c r="A64" s="293"/>
      <c r="B64" s="293"/>
    </row>
    <row r="65" spans="1:9">
      <c r="A65" s="293"/>
      <c r="B65" s="293"/>
    </row>
    <row r="66" spans="1:9">
      <c r="A66" s="293"/>
      <c r="B66" s="293"/>
    </row>
    <row r="67" spans="1:9">
      <c r="A67" s="293"/>
      <c r="B67" s="293"/>
    </row>
    <row r="68" spans="1:9">
      <c r="A68" s="293"/>
      <c r="B68" s="293"/>
      <c r="E68"/>
      <c r="F68"/>
      <c r="G68"/>
      <c r="H68"/>
      <c r="I68"/>
    </row>
    <row r="69" spans="1:9">
      <c r="A69" s="293"/>
      <c r="B69" s="293"/>
      <c r="E69" s="321"/>
      <c r="F69" s="321"/>
      <c r="G69" s="321"/>
      <c r="H69" s="321"/>
      <c r="I69"/>
    </row>
    <row r="70" spans="1:9">
      <c r="A70" s="293"/>
      <c r="B70" s="293"/>
      <c r="E70"/>
      <c r="F70"/>
      <c r="G70"/>
      <c r="H70"/>
      <c r="I70"/>
    </row>
    <row r="71" spans="1:9">
      <c r="A71" s="293"/>
      <c r="B71" s="293"/>
      <c r="E71"/>
      <c r="F71"/>
      <c r="G71"/>
      <c r="H71"/>
      <c r="I71"/>
    </row>
    <row r="72" spans="1:9">
      <c r="A72" s="293"/>
      <c r="B72" s="293"/>
      <c r="E72"/>
      <c r="F72"/>
      <c r="G72"/>
      <c r="H72"/>
      <c r="I72"/>
    </row>
    <row r="73" spans="1:9">
      <c r="A73" s="293"/>
      <c r="B73" s="293"/>
      <c r="E73"/>
      <c r="F73"/>
      <c r="G73"/>
      <c r="H73"/>
      <c r="I73"/>
    </row>
    <row r="74" spans="1:9">
      <c r="A74" s="293"/>
      <c r="B74" s="293"/>
      <c r="E74"/>
      <c r="F74"/>
      <c r="G74"/>
      <c r="H74"/>
      <c r="I74"/>
    </row>
    <row r="75" spans="1:9">
      <c r="A75" s="293"/>
      <c r="B75" s="293"/>
      <c r="E75"/>
      <c r="F75"/>
      <c r="G75"/>
      <c r="H75"/>
      <c r="I75"/>
    </row>
    <row r="76" spans="1:9">
      <c r="A76" s="293"/>
      <c r="B76" s="322"/>
      <c r="C76" s="322"/>
      <c r="D76" s="322"/>
    </row>
    <row r="77" spans="1:9">
      <c r="A77" s="293"/>
      <c r="B77" s="322"/>
      <c r="C77" s="322"/>
      <c r="D77" s="322"/>
    </row>
    <row r="78" spans="1:9">
      <c r="A78" s="293"/>
      <c r="B78" s="293"/>
      <c r="C78" s="293"/>
      <c r="D78" s="293"/>
      <c r="E78" s="292"/>
      <c r="F78" s="292"/>
    </row>
    <row r="79" spans="1:9">
      <c r="A79" s="293"/>
      <c r="B79" s="293"/>
      <c r="C79" s="293"/>
      <c r="D79" s="293"/>
      <c r="E79" s="292"/>
      <c r="F79" s="292"/>
    </row>
    <row r="80" spans="1:9">
      <c r="A80" s="293"/>
      <c r="B80" s="293"/>
      <c r="C80" s="293"/>
      <c r="D80" s="293"/>
      <c r="E80" s="292"/>
      <c r="F80" s="292"/>
    </row>
    <row r="81" spans="1:6">
      <c r="A81" s="293"/>
      <c r="B81" s="293"/>
      <c r="C81" s="293"/>
      <c r="D81" s="293"/>
      <c r="E81" s="292"/>
      <c r="F81" s="292"/>
    </row>
    <row r="82" spans="1:6">
      <c r="A82" s="293"/>
      <c r="B82" s="293"/>
      <c r="C82" s="293"/>
      <c r="D82" s="293"/>
      <c r="E82" s="292"/>
      <c r="F82" s="292"/>
    </row>
    <row r="83" spans="1:6">
      <c r="A83" s="293"/>
      <c r="B83" s="293"/>
      <c r="C83" s="293"/>
      <c r="D83" s="293"/>
      <c r="E83" s="292"/>
      <c r="F83" s="292"/>
    </row>
    <row r="84" spans="1:6">
      <c r="A84" s="293"/>
      <c r="B84" s="293"/>
      <c r="C84" s="293"/>
      <c r="D84" s="293"/>
      <c r="E84" s="292"/>
      <c r="F84" s="292"/>
    </row>
    <row r="85" spans="1:6">
      <c r="A85" s="293"/>
      <c r="B85" s="293"/>
      <c r="C85" s="293"/>
      <c r="D85" s="293"/>
      <c r="E85" s="292"/>
      <c r="F85" s="292"/>
    </row>
    <row r="86" spans="1:6">
      <c r="A86" s="293"/>
      <c r="B86" s="293"/>
      <c r="C86" s="293"/>
      <c r="D86" s="293"/>
      <c r="E86" s="292"/>
      <c r="F86" s="292"/>
    </row>
    <row r="87" spans="1:6">
      <c r="A87" s="293"/>
      <c r="B87" s="293"/>
      <c r="C87" s="293"/>
      <c r="D87" s="293"/>
      <c r="E87" s="292"/>
      <c r="F87" s="292"/>
    </row>
    <row r="88" spans="1:6">
      <c r="A88" s="293"/>
      <c r="B88" s="322" t="s">
        <v>374</v>
      </c>
      <c r="C88" s="322"/>
      <c r="D88" s="322"/>
      <c r="E88" s="292"/>
      <c r="F88" s="292"/>
    </row>
    <row r="89" spans="1:6">
      <c r="A89" s="293"/>
      <c r="B89" s="322"/>
      <c r="C89" s="322"/>
      <c r="D89" s="322"/>
      <c r="E89" s="292"/>
      <c r="F89" s="292"/>
    </row>
    <row r="90" spans="1:6">
      <c r="A90" s="293"/>
      <c r="B90" s="322"/>
      <c r="C90" s="322"/>
      <c r="D90" s="322"/>
      <c r="E90" s="292"/>
      <c r="F90" s="292"/>
    </row>
    <row r="91" spans="1:6">
      <c r="A91" s="293"/>
      <c r="B91" s="322" t="s">
        <v>111</v>
      </c>
      <c r="C91" s="322" t="s">
        <v>112</v>
      </c>
      <c r="D91" s="322"/>
      <c r="E91" s="292"/>
      <c r="F91" s="292"/>
    </row>
    <row r="92" spans="1:6">
      <c r="A92" s="293"/>
      <c r="B92" s="322" t="s">
        <v>113</v>
      </c>
      <c r="C92" s="322" t="s">
        <v>114</v>
      </c>
      <c r="D92" s="322"/>
      <c r="E92" s="292"/>
      <c r="F92" s="292"/>
    </row>
    <row r="93" spans="1:6">
      <c r="A93" s="293"/>
      <c r="B93" s="322" t="s">
        <v>115</v>
      </c>
      <c r="C93" s="322" t="s">
        <v>116</v>
      </c>
      <c r="D93" s="322"/>
      <c r="E93" s="292"/>
      <c r="F93" s="292"/>
    </row>
    <row r="94" spans="1:6">
      <c r="A94" s="293"/>
      <c r="B94" s="322"/>
      <c r="C94" s="322"/>
      <c r="D94" s="322"/>
      <c r="E94" s="292"/>
      <c r="F94" s="292"/>
    </row>
    <row r="95" spans="1:6">
      <c r="A95" s="293"/>
      <c r="B95" s="323"/>
      <c r="C95" s="322"/>
      <c r="D95" s="322"/>
      <c r="E95" s="292"/>
      <c r="F95" s="292"/>
    </row>
    <row r="96" spans="1:6">
      <c r="A96" s="293"/>
      <c r="B96" s="323" t="s">
        <v>117</v>
      </c>
      <c r="C96" s="322" t="s">
        <v>118</v>
      </c>
      <c r="D96" s="322"/>
      <c r="E96" s="292"/>
      <c r="F96" s="292"/>
    </row>
    <row r="97" spans="1:18">
      <c r="A97" s="293"/>
      <c r="B97" s="323" t="s">
        <v>119</v>
      </c>
      <c r="C97" s="322" t="s">
        <v>120</v>
      </c>
      <c r="D97" s="322"/>
      <c r="E97" s="292"/>
      <c r="F97" s="292"/>
    </row>
    <row r="98" spans="1:18">
      <c r="A98" s="293"/>
      <c r="B98" s="323" t="s">
        <v>121</v>
      </c>
      <c r="C98" s="322" t="s">
        <v>120</v>
      </c>
      <c r="D98" s="322"/>
      <c r="E98" s="292"/>
      <c r="F98" s="292"/>
    </row>
    <row r="99" spans="1:18">
      <c r="A99" s="293"/>
      <c r="B99" s="323" t="s">
        <v>122</v>
      </c>
      <c r="C99" s="322" t="s">
        <v>123</v>
      </c>
      <c r="D99" s="322"/>
      <c r="E99" s="292"/>
      <c r="F99" s="292"/>
    </row>
    <row r="100" spans="1:18">
      <c r="A100" s="293"/>
      <c r="B100" s="323" t="s">
        <v>124</v>
      </c>
      <c r="C100" s="322" t="s">
        <v>125</v>
      </c>
      <c r="D100" s="322"/>
      <c r="E100" s="292"/>
      <c r="F100" s="292"/>
    </row>
    <row r="101" spans="1:18">
      <c r="A101" s="293"/>
      <c r="B101" s="323"/>
      <c r="C101" s="322"/>
      <c r="D101" s="322"/>
      <c r="E101" s="292"/>
      <c r="F101" s="292"/>
    </row>
    <row r="102" spans="1:18" s="322" customFormat="1">
      <c r="A102" s="293"/>
      <c r="B102" s="323" t="s">
        <v>126</v>
      </c>
      <c r="E102" s="292"/>
      <c r="F102" s="292"/>
      <c r="G102" s="324"/>
      <c r="H102" s="324"/>
      <c r="I102" s="324"/>
      <c r="J102" s="324"/>
      <c r="K102" s="324"/>
      <c r="L102" s="324"/>
      <c r="M102" s="324"/>
      <c r="N102" s="324"/>
      <c r="O102" s="324"/>
      <c r="P102" s="324"/>
      <c r="Q102" s="324"/>
      <c r="R102" s="324"/>
    </row>
    <row r="103" spans="1:18" s="322" customFormat="1">
      <c r="A103" s="293"/>
      <c r="B103" s="323" t="s">
        <v>127</v>
      </c>
      <c r="E103" s="292"/>
      <c r="F103" s="292"/>
      <c r="G103" s="324"/>
      <c r="H103" s="324"/>
      <c r="I103" s="324"/>
      <c r="J103" s="324"/>
      <c r="K103" s="324"/>
      <c r="L103" s="324"/>
      <c r="M103" s="324"/>
      <c r="N103" s="324"/>
      <c r="O103" s="324"/>
      <c r="P103" s="324"/>
      <c r="Q103" s="324"/>
      <c r="R103" s="324"/>
    </row>
    <row r="104" spans="1:18" s="322" customFormat="1">
      <c r="A104" s="293"/>
      <c r="B104" s="323" t="s">
        <v>324</v>
      </c>
      <c r="E104" s="292"/>
      <c r="F104" s="292"/>
      <c r="G104" s="324"/>
      <c r="H104" s="324"/>
      <c r="I104" s="324"/>
      <c r="J104" s="324"/>
      <c r="K104" s="324"/>
      <c r="L104" s="324"/>
      <c r="M104" s="324"/>
      <c r="N104" s="324"/>
      <c r="O104" s="324"/>
      <c r="P104" s="324"/>
      <c r="Q104" s="324"/>
      <c r="R104" s="324"/>
    </row>
    <row r="105" spans="1:18" s="322" customFormat="1">
      <c r="A105" s="293"/>
      <c r="B105" s="323" t="s">
        <v>128</v>
      </c>
      <c r="E105" s="292"/>
      <c r="F105" s="292"/>
      <c r="G105" s="324"/>
      <c r="H105" s="324"/>
      <c r="I105" s="324"/>
      <c r="J105" s="324"/>
      <c r="K105" s="324"/>
      <c r="L105" s="324"/>
      <c r="M105" s="324"/>
      <c r="N105" s="324"/>
      <c r="O105" s="324"/>
      <c r="P105" s="324"/>
      <c r="Q105" s="324"/>
      <c r="R105" s="324"/>
    </row>
    <row r="106" spans="1:18">
      <c r="A106" s="293"/>
      <c r="B106" s="323" t="s">
        <v>129</v>
      </c>
      <c r="C106" s="322"/>
      <c r="D106" s="322"/>
      <c r="E106" s="292"/>
      <c r="F106" s="292"/>
    </row>
    <row r="107" spans="1:18">
      <c r="A107" s="293"/>
      <c r="B107" s="323"/>
      <c r="C107" s="322"/>
      <c r="D107" s="322"/>
      <c r="E107" s="292"/>
      <c r="F107" s="292"/>
    </row>
    <row r="108" spans="1:18">
      <c r="A108" s="293"/>
      <c r="B108" s="323"/>
      <c r="C108" s="322"/>
      <c r="D108" s="322"/>
      <c r="E108" s="292"/>
      <c r="F108" s="292"/>
    </row>
    <row r="109" spans="1:18">
      <c r="A109" s="293"/>
      <c r="B109" s="323"/>
      <c r="C109" s="322"/>
      <c r="D109" s="322"/>
      <c r="E109" s="292"/>
      <c r="F109" s="292"/>
    </row>
    <row r="110" spans="1:18">
      <c r="A110" s="293"/>
      <c r="B110" s="323"/>
      <c r="C110" s="322"/>
      <c r="D110" s="322"/>
      <c r="E110" s="292"/>
      <c r="F110" s="292"/>
    </row>
    <row r="111" spans="1:18">
      <c r="A111" s="293"/>
      <c r="B111" s="323" t="s">
        <v>130</v>
      </c>
      <c r="C111" s="322"/>
      <c r="D111" s="322"/>
      <c r="E111" s="292"/>
      <c r="F111" s="292"/>
    </row>
    <row r="112" spans="1:18">
      <c r="A112" s="293"/>
      <c r="B112" s="323" t="s">
        <v>115</v>
      </c>
      <c r="C112" s="322"/>
      <c r="D112" s="322"/>
      <c r="E112" s="292"/>
      <c r="F112" s="292"/>
    </row>
    <row r="113" spans="1:6">
      <c r="A113" s="293"/>
      <c r="B113" s="322"/>
      <c r="C113" s="322"/>
      <c r="D113" s="322"/>
      <c r="E113" s="292"/>
      <c r="F113" s="292"/>
    </row>
    <row r="114" spans="1:6">
      <c r="A114" s="293"/>
      <c r="B114" s="322"/>
      <c r="C114" s="322"/>
      <c r="D114" s="322"/>
      <c r="E114" s="292"/>
      <c r="F114" s="292"/>
    </row>
    <row r="115" spans="1:6">
      <c r="A115" s="293"/>
      <c r="B115" s="322"/>
      <c r="C115" s="322"/>
      <c r="D115" s="322"/>
      <c r="E115" s="292"/>
      <c r="F115" s="292"/>
    </row>
    <row r="116" spans="1:6">
      <c r="A116" s="293"/>
      <c r="B116" s="322"/>
      <c r="C116" s="322"/>
      <c r="D116" s="322"/>
      <c r="E116" s="292"/>
      <c r="F116" s="292"/>
    </row>
    <row r="117" spans="1:6">
      <c r="A117" s="293"/>
      <c r="B117" s="322"/>
      <c r="C117" s="322"/>
      <c r="D117" s="322"/>
      <c r="E117" s="292"/>
      <c r="F117" s="292"/>
    </row>
    <row r="118" spans="1:6">
      <c r="A118" s="293"/>
      <c r="B118" s="322"/>
      <c r="C118" s="322"/>
      <c r="D118" s="322"/>
      <c r="E118" s="292"/>
      <c r="F118" s="292"/>
    </row>
    <row r="119" spans="1:6">
      <c r="A119" s="293"/>
      <c r="B119" s="293"/>
      <c r="C119" s="293"/>
      <c r="D119" s="293"/>
      <c r="E119" s="292"/>
      <c r="F119" s="292"/>
    </row>
  </sheetData>
  <sheetProtection algorithmName="SHA-512" hashValue="7c1cR+4mM+99PWCwTEujh3jdOEyNdtY7Jaa/fQs2/ucOv7FzokhUZuKeSpEawaaqG7GzHuf5kF/i2Q5+PTZcQQ==" saltValue="abATSLqvIrQZFHP9ZqdhZg==" spinCount="100000" sheet="1" objects="1" scenarios="1"/>
  <mergeCells count="41">
    <mergeCell ref="C32:E32"/>
    <mergeCell ref="B53:C53"/>
    <mergeCell ref="B19:E19"/>
    <mergeCell ref="E52:M53"/>
    <mergeCell ref="B49:C49"/>
    <mergeCell ref="B45:C45"/>
    <mergeCell ref="B47:C47"/>
    <mergeCell ref="E47:M47"/>
    <mergeCell ref="B36:M36"/>
    <mergeCell ref="C60:D60"/>
    <mergeCell ref="B38:C38"/>
    <mergeCell ref="B39:C39"/>
    <mergeCell ref="B51:C51"/>
    <mergeCell ref="E51:M51"/>
    <mergeCell ref="B50:C50"/>
    <mergeCell ref="E50:M50"/>
    <mergeCell ref="E41:M42"/>
    <mergeCell ref="E45:M45"/>
    <mergeCell ref="E46:M46"/>
    <mergeCell ref="E48:M48"/>
    <mergeCell ref="E44:M44"/>
    <mergeCell ref="E49:M49"/>
    <mergeCell ref="B46:C46"/>
    <mergeCell ref="B48:C48"/>
    <mergeCell ref="B44:C44"/>
    <mergeCell ref="B1:J1"/>
    <mergeCell ref="B2:J2"/>
    <mergeCell ref="E39:M39"/>
    <mergeCell ref="E38:M38"/>
    <mergeCell ref="B56:D56"/>
    <mergeCell ref="B4:E4"/>
    <mergeCell ref="C21:D21"/>
    <mergeCell ref="C22:D22"/>
    <mergeCell ref="C23:D23"/>
    <mergeCell ref="C24:D24"/>
    <mergeCell ref="B52:C52"/>
    <mergeCell ref="E40:M40"/>
    <mergeCell ref="E43:M43"/>
    <mergeCell ref="D40:D42"/>
    <mergeCell ref="B40:C42"/>
    <mergeCell ref="B43:C43"/>
  </mergeCells>
  <phoneticPr fontId="5" type="noConversion"/>
  <conditionalFormatting sqref="D6:D17">
    <cfRule type="cellIs" dxfId="155" priority="1" operator="notEqual">
      <formula>""</formula>
    </cfRule>
  </conditionalFormatting>
  <conditionalFormatting sqref="D20 C21:C24 H25 D28">
    <cfRule type="cellIs" dxfId="154" priority="6" operator="notEqual">
      <formula>""</formula>
    </cfRule>
  </conditionalFormatting>
  <conditionalFormatting sqref="D26">
    <cfRule type="notContainsBlanks" dxfId="153" priority="9">
      <formula>LEN(TRIM(D26))&gt;0</formula>
    </cfRule>
  </conditionalFormatting>
  <dataValidations count="8">
    <dataValidation type="list" allowBlank="1" showInputMessage="1" showErrorMessage="1" sqref="D11" xr:uid="{5E543F22-E1B2-4969-9968-148AF37A8FBF}">
      <formula1>$B$105:$B$106</formula1>
    </dataValidation>
    <dataValidation type="list" allowBlank="1" showInputMessage="1" showErrorMessage="1" sqref="D12" xr:uid="{7C25B70C-FFA9-4395-8438-6E21ED72E70D}">
      <formula1>$B$102:$B$104</formula1>
    </dataValidation>
    <dataValidation type="list" allowBlank="1" showInputMessage="1" showErrorMessage="1" sqref="D61" xr:uid="{2705F454-DC73-48AC-B933-F13FCC4AFECC}">
      <formula1>$B$96:$B$100</formula1>
    </dataValidation>
    <dataValidation type="date" operator="greaterThanOrEqual" allowBlank="1" showInputMessage="1" showErrorMessage="1" error="Must be a date not earlier than today's date" sqref="D28" xr:uid="{3EAF0541-BA65-46B0-81E0-DC06B11D0CD0}">
      <formula1>TODAY()</formula1>
    </dataValidation>
    <dataValidation allowBlank="1" showInputMessage="1" showErrorMessage="1" prompt="Please enter phone number as (###) ### - ###" sqref="H25" xr:uid="{FB179C34-E852-4F0A-975B-4EEE84936E12}"/>
    <dataValidation type="textLength" operator="equal" allowBlank="1" showInputMessage="1" showErrorMessage="1" error="Please enter 10 digit phone number" prompt="Please enter 10 digit phone number" sqref="D18 D15" xr:uid="{AB533174-D767-417B-949C-CE783B79212C}">
      <formula1>10</formula1>
    </dataValidation>
    <dataValidation type="textLength" operator="lessThanOrEqual" allowBlank="1" showInputMessage="1" showErrorMessage="1" error="Must be 50 letters or less" sqref="D14:D18" xr:uid="{9AAFABF3-54DD-4446-81B5-CE469F93D248}">
      <formula1>50</formula1>
    </dataValidation>
    <dataValidation operator="equal" allowBlank="1" showInputMessage="1" showErrorMessage="1" sqref="D16:D17" xr:uid="{A95FC626-5AD2-4209-B0FF-15E434E7843B}"/>
  </dataValidations>
  <hyperlinks>
    <hyperlink ref="C32" r:id="rId1" xr:uid="{8E1C5F18-29E3-4E2E-97CC-06B73E7A0E9B}"/>
  </hyperlinks>
  <pageMargins left="0.7" right="0.7" top="0.75" bottom="0.75" header="0.3" footer="0.3"/>
  <pageSetup scale="73" orientation="landscape" r:id="rId2"/>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EA1DA-8E1D-46FA-A315-8918764E7EA1}">
  <sheetPr>
    <tabColor rgb="FFFFC000"/>
  </sheetPr>
  <dimension ref="A1:V97"/>
  <sheetViews>
    <sheetView showGridLines="0" zoomScale="70" zoomScaleNormal="70" workbookViewId="0">
      <selection activeCell="F73" sqref="F73"/>
    </sheetView>
  </sheetViews>
  <sheetFormatPr defaultColWidth="9.1796875" defaultRowHeight="14.5"/>
  <cols>
    <col min="3" max="3" width="95.26953125" bestFit="1" customWidth="1"/>
    <col min="4" max="4" width="6.7265625" bestFit="1" customWidth="1"/>
    <col min="5" max="5" width="8.26953125" customWidth="1"/>
    <col min="6" max="6" width="31.1796875" customWidth="1"/>
    <col min="7" max="7" width="2.54296875" customWidth="1"/>
    <col min="8" max="8" width="6.54296875" customWidth="1"/>
    <col min="9" max="9" width="27.453125" customWidth="1"/>
    <col min="11" max="11" width="17.7265625" customWidth="1"/>
    <col min="12" max="12" width="11.1796875" customWidth="1"/>
  </cols>
  <sheetData>
    <row r="1" spans="1:12" ht="26">
      <c r="A1" s="1210" t="s">
        <v>734</v>
      </c>
      <c r="B1" s="1210"/>
      <c r="C1" s="1210"/>
      <c r="D1" s="1210"/>
      <c r="E1" s="1210"/>
      <c r="F1" s="1210"/>
      <c r="G1" s="1210"/>
      <c r="H1" s="1210"/>
      <c r="I1" s="1210"/>
      <c r="K1" s="109" t="s">
        <v>109</v>
      </c>
      <c r="L1" s="110" t="str">
        <f>IF('A1. Identification'!$D$13=0, " ",'A1. Identification'!$D$13)</f>
        <v xml:space="preserve"> </v>
      </c>
    </row>
    <row r="2" spans="1:12" ht="17.25" customHeight="1">
      <c r="K2" s="109" t="s">
        <v>301</v>
      </c>
      <c r="L2" s="889">
        <f>'A6b. Operations-Site 2'!L2</f>
        <v>0</v>
      </c>
    </row>
    <row r="3" spans="1:12" ht="22.5">
      <c r="A3" s="122" t="s">
        <v>487</v>
      </c>
      <c r="B3" s="123"/>
      <c r="C3" s="124"/>
      <c r="D3" s="124"/>
      <c r="E3" s="124"/>
      <c r="F3" s="125"/>
      <c r="G3" s="125"/>
      <c r="H3" s="125"/>
      <c r="I3" s="126"/>
    </row>
    <row r="4" spans="1:12" ht="20">
      <c r="A4" s="752"/>
      <c r="B4" s="127"/>
      <c r="C4" s="753"/>
      <c r="D4" s="753"/>
      <c r="E4" s="753"/>
      <c r="F4" s="128"/>
      <c r="G4" s="129"/>
      <c r="H4" s="129"/>
    </row>
    <row r="5" spans="1:12" ht="15.5">
      <c r="A5" s="127"/>
      <c r="B5" s="127"/>
      <c r="C5" s="754"/>
      <c r="D5" s="754"/>
      <c r="E5" s="754"/>
      <c r="F5" s="130"/>
      <c r="G5" s="131"/>
      <c r="H5" s="131"/>
      <c r="I5" s="1"/>
    </row>
    <row r="6" spans="1:12" ht="17.5">
      <c r="A6" s="1"/>
      <c r="B6" s="132" t="s">
        <v>488</v>
      </c>
      <c r="C6" s="133"/>
      <c r="D6" s="133"/>
      <c r="E6" s="133"/>
      <c r="F6" s="130"/>
      <c r="G6" s="131"/>
      <c r="H6" s="131"/>
      <c r="I6" s="1"/>
    </row>
    <row r="7" spans="1:12" ht="15.5">
      <c r="A7" s="1"/>
      <c r="B7" s="755" t="s">
        <v>489</v>
      </c>
      <c r="C7" s="133"/>
      <c r="D7" s="133"/>
      <c r="E7" s="133"/>
      <c r="F7" s="130"/>
      <c r="G7" s="131"/>
      <c r="H7" s="131"/>
      <c r="I7" s="1"/>
    </row>
    <row r="8" spans="1:12" ht="15.5">
      <c r="A8" s="134"/>
      <c r="B8" s="134"/>
      <c r="C8" s="135" t="s">
        <v>490</v>
      </c>
      <c r="D8" s="136"/>
      <c r="E8" s="137" t="s">
        <v>491</v>
      </c>
      <c r="F8" s="756">
        <f>'A6b. Operations-Site 2'!F7</f>
        <v>0</v>
      </c>
      <c r="G8" s="138"/>
      <c r="H8" s="138"/>
      <c r="I8" s="1"/>
    </row>
    <row r="9" spans="1:12" ht="15">
      <c r="A9" s="134"/>
      <c r="B9" s="134"/>
      <c r="C9" s="135" t="s">
        <v>492</v>
      </c>
      <c r="D9" s="134"/>
      <c r="E9" s="137" t="s">
        <v>493</v>
      </c>
      <c r="F9" s="881">
        <f>'A1. Identification'!D6</f>
        <v>0</v>
      </c>
      <c r="G9" s="138"/>
      <c r="H9" s="138"/>
      <c r="I9" s="134"/>
    </row>
    <row r="10" spans="1:12" ht="15">
      <c r="A10" s="134"/>
      <c r="B10" s="134"/>
      <c r="C10" s="135" t="s">
        <v>494</v>
      </c>
      <c r="D10" s="136"/>
      <c r="E10" s="137" t="s">
        <v>495</v>
      </c>
      <c r="F10" s="757">
        <f>'A6b. Operations-Site 2'!F8</f>
        <v>0</v>
      </c>
      <c r="G10" s="138"/>
      <c r="H10" s="138"/>
      <c r="I10" s="134"/>
    </row>
    <row r="11" spans="1:12" ht="15">
      <c r="A11" s="134"/>
      <c r="B11" s="134"/>
      <c r="C11" s="135" t="s">
        <v>496</v>
      </c>
      <c r="D11" s="136"/>
      <c r="E11" s="137" t="s">
        <v>497</v>
      </c>
      <c r="F11" s="758">
        <f>'A6b. Operations-Site 2'!F9</f>
        <v>0</v>
      </c>
      <c r="G11" s="139"/>
      <c r="H11" s="139"/>
      <c r="I11" s="279"/>
    </row>
    <row r="12" spans="1:12" ht="15.5">
      <c r="A12" s="134"/>
      <c r="B12" s="134"/>
      <c r="C12" s="135" t="s">
        <v>498</v>
      </c>
      <c r="D12" s="136"/>
      <c r="E12" s="136"/>
      <c r="F12" s="759" t="s">
        <v>726</v>
      </c>
      <c r="G12" s="141"/>
      <c r="H12" s="270"/>
      <c r="I12" s="1"/>
    </row>
    <row r="13" spans="1:12" ht="15.5">
      <c r="A13" s="134"/>
      <c r="B13" s="134"/>
      <c r="C13" s="760" t="s">
        <v>499</v>
      </c>
      <c r="D13" s="136"/>
      <c r="E13" s="137" t="s">
        <v>500</v>
      </c>
      <c r="F13" s="269">
        <v>232</v>
      </c>
      <c r="G13" s="142"/>
      <c r="H13" s="142"/>
      <c r="I13" s="1"/>
    </row>
    <row r="14" spans="1:12" ht="15.5">
      <c r="A14" s="134"/>
      <c r="B14" s="134"/>
      <c r="C14" s="135" t="s">
        <v>501</v>
      </c>
      <c r="D14" s="136"/>
      <c r="E14" s="137" t="s">
        <v>502</v>
      </c>
      <c r="F14" s="143">
        <v>2025</v>
      </c>
      <c r="G14" s="144"/>
      <c r="H14" s="144"/>
      <c r="I14" s="1"/>
    </row>
    <row r="15" spans="1:12" ht="15">
      <c r="A15" s="134"/>
      <c r="B15" s="761"/>
      <c r="C15" s="136"/>
      <c r="D15" s="136"/>
      <c r="E15" s="136"/>
      <c r="F15" s="761"/>
      <c r="G15" s="761"/>
      <c r="H15" s="761"/>
      <c r="I15" s="134"/>
    </row>
    <row r="16" spans="1:12" ht="17.5">
      <c r="A16" s="134"/>
      <c r="B16" s="132" t="s">
        <v>503</v>
      </c>
      <c r="C16" s="136"/>
      <c r="D16" s="136"/>
      <c r="E16" s="136"/>
      <c r="F16" s="761"/>
      <c r="G16" s="761"/>
      <c r="H16" s="761"/>
      <c r="I16" s="134"/>
    </row>
    <row r="17" spans="1:9" ht="15">
      <c r="A17" s="134"/>
      <c r="B17" s="755" t="s">
        <v>504</v>
      </c>
      <c r="C17" s="136"/>
      <c r="D17" s="136"/>
      <c r="E17" s="136"/>
      <c r="F17" s="761"/>
      <c r="G17" s="761"/>
      <c r="H17" s="761"/>
      <c r="I17" s="761"/>
    </row>
    <row r="18" spans="1:9" ht="15.5">
      <c r="A18" s="1"/>
      <c r="B18" s="1"/>
      <c r="C18" s="1" t="s">
        <v>505</v>
      </c>
      <c r="D18" s="133"/>
      <c r="E18" s="137" t="s">
        <v>506</v>
      </c>
      <c r="F18" s="762">
        <f>'A6b. Operations-Site 2'!F11</f>
        <v>0</v>
      </c>
      <c r="G18" s="145"/>
      <c r="H18" s="145"/>
      <c r="I18" s="279"/>
    </row>
    <row r="19" spans="1:9" ht="15.5">
      <c r="A19" s="1"/>
      <c r="B19" s="1"/>
      <c r="C19" s="133"/>
      <c r="D19" s="133"/>
      <c r="E19" s="133"/>
      <c r="F19" s="130"/>
      <c r="G19" s="131"/>
      <c r="H19" s="131"/>
      <c r="I19" s="1"/>
    </row>
    <row r="20" spans="1:9" ht="60" customHeight="1">
      <c r="A20" s="1"/>
      <c r="B20" s="763"/>
      <c r="C20" s="763"/>
      <c r="F20" s="764" t="s">
        <v>507</v>
      </c>
      <c r="H20" s="764"/>
      <c r="I20" s="764" t="s">
        <v>508</v>
      </c>
    </row>
    <row r="21" spans="1:9" ht="15.5">
      <c r="A21" s="1"/>
      <c r="C21" s="765" t="s">
        <v>509</v>
      </c>
      <c r="E21" s="766" t="s">
        <v>510</v>
      </c>
      <c r="F21" s="767">
        <f>('A2.Allocation &amp; Operating Plan'!C61+'A2.Allocation &amp; Operating Plan'!C62)*'A2.Allocation &amp; Operating Plan'!C63</f>
        <v>0</v>
      </c>
      <c r="H21" s="766" t="s">
        <v>511</v>
      </c>
      <c r="I21" s="767">
        <f>+'A2.Allocation &amp; Operating Plan'!C63*'A2.Allocation &amp; Operating Plan'!C65</f>
        <v>0</v>
      </c>
    </row>
    <row r="22" spans="1:9" ht="15.5">
      <c r="A22" s="1"/>
      <c r="C22" s="765" t="s">
        <v>512</v>
      </c>
      <c r="E22" s="766" t="s">
        <v>513</v>
      </c>
      <c r="F22" s="767">
        <f>('A2.Allocation &amp; Operating Plan'!D61+'A2.Allocation &amp; Operating Plan'!D62)*'A2.Allocation &amp; Operating Plan'!D63</f>
        <v>0</v>
      </c>
      <c r="H22" s="766" t="s">
        <v>514</v>
      </c>
      <c r="I22" s="767">
        <f>+'A2.Allocation &amp; Operating Plan'!D63*'A2.Allocation &amp; Operating Plan'!D65</f>
        <v>0</v>
      </c>
    </row>
    <row r="23" spans="1:9" ht="30">
      <c r="A23" s="1"/>
      <c r="C23" s="765" t="s">
        <v>4</v>
      </c>
      <c r="E23" s="766" t="s">
        <v>515</v>
      </c>
      <c r="F23" s="767">
        <f>('A2.Allocation &amp; Operating Plan'!E61+'A2.Allocation &amp; Operating Plan'!E62)*'A2.Allocation &amp; Operating Plan'!E63</f>
        <v>0</v>
      </c>
      <c r="H23" s="766" t="s">
        <v>516</v>
      </c>
      <c r="I23" s="767">
        <f>'A2.Allocation &amp; Operating Plan'!E63*'A2.Allocation &amp; Operating Plan'!E65</f>
        <v>0</v>
      </c>
    </row>
    <row r="24" spans="1:9" ht="30">
      <c r="A24" s="1"/>
      <c r="C24" s="765" t="s">
        <v>517</v>
      </c>
      <c r="E24" s="766" t="s">
        <v>518</v>
      </c>
      <c r="F24" s="767">
        <f>('A2.Allocation &amp; Operating Plan'!F61+'A2.Allocation &amp; Operating Plan'!F62)*'A2.Allocation &amp; Operating Plan'!F63</f>
        <v>0</v>
      </c>
      <c r="H24" s="766" t="s">
        <v>519</v>
      </c>
      <c r="I24" s="767">
        <f>'A2.Allocation &amp; Operating Plan'!F63*'A2.Allocation &amp; Operating Plan'!F65</f>
        <v>0</v>
      </c>
    </row>
    <row r="25" spans="1:9" ht="30">
      <c r="A25" s="127"/>
      <c r="C25" s="765" t="s">
        <v>520</v>
      </c>
      <c r="E25" s="766" t="s">
        <v>521</v>
      </c>
      <c r="F25" s="767">
        <f>('A2.Allocation &amp; Operating Plan'!G61+'A2.Allocation &amp; Operating Plan'!G62)*'A2.Allocation &amp; Operating Plan'!G63</f>
        <v>0</v>
      </c>
      <c r="H25" s="766" t="s">
        <v>522</v>
      </c>
      <c r="I25" s="767">
        <f>'A2.Allocation &amp; Operating Plan'!G63*'A2.Allocation &amp; Operating Plan'!G65</f>
        <v>0</v>
      </c>
    </row>
    <row r="26" spans="1:9" ht="30">
      <c r="A26" s="127"/>
      <c r="C26" s="765" t="s">
        <v>523</v>
      </c>
      <c r="E26" s="766" t="s">
        <v>524</v>
      </c>
      <c r="F26" s="767">
        <f>(('A2.Allocation &amp; Operating Plan'!H61+'A2.Allocation &amp; Operating Plan'!H62)*'A2.Allocation &amp; Operating Plan'!H63)+(('A2.Allocation &amp; Operating Plan'!I61+'A2.Allocation &amp; Operating Plan'!I62)*'A2.Allocation &amp; Operating Plan'!I63)</f>
        <v>0</v>
      </c>
      <c r="H26" s="766" t="s">
        <v>525</v>
      </c>
      <c r="I26" s="767">
        <f>('A2.Allocation &amp; Operating Plan'!H63*'A2.Allocation &amp; Operating Plan'!H65)+('A2.Allocation &amp; Operating Plan'!I63*'A2.Allocation &amp; Operating Plan'!I65)</f>
        <v>0</v>
      </c>
    </row>
    <row r="27" spans="1:9" ht="15.5">
      <c r="A27" s="127"/>
      <c r="C27" s="768" t="s">
        <v>87</v>
      </c>
      <c r="F27" s="147">
        <f>+SUM(F21:F26)</f>
        <v>0</v>
      </c>
      <c r="H27" s="146"/>
      <c r="I27" s="147">
        <f>+SUM(I21:I26)</f>
        <v>0</v>
      </c>
    </row>
    <row r="29" spans="1:9" ht="17.5">
      <c r="B29" s="769" t="s">
        <v>526</v>
      </c>
      <c r="C29" s="148"/>
      <c r="D29" s="148"/>
      <c r="E29" s="148"/>
      <c r="F29" s="149"/>
      <c r="G29" s="149"/>
      <c r="H29" s="149"/>
      <c r="I29" s="1"/>
    </row>
    <row r="30" spans="1:9" ht="17.5">
      <c r="B30" s="770" t="s">
        <v>527</v>
      </c>
      <c r="C30" s="148"/>
      <c r="D30" s="148"/>
      <c r="E30" s="148"/>
      <c r="F30" s="149"/>
      <c r="G30" s="150"/>
      <c r="H30" s="150"/>
      <c r="I30" s="1"/>
    </row>
    <row r="31" spans="1:9" ht="15.5">
      <c r="B31" s="755" t="s">
        <v>528</v>
      </c>
      <c r="C31" s="1"/>
      <c r="D31" s="1"/>
      <c r="E31" s="1"/>
      <c r="F31" s="1"/>
      <c r="G31" s="1"/>
      <c r="H31" s="1"/>
      <c r="I31" s="1"/>
    </row>
    <row r="32" spans="1:9" ht="15.5">
      <c r="B32" s="151"/>
      <c r="C32" s="1" t="s">
        <v>529</v>
      </c>
      <c r="D32" s="1"/>
      <c r="E32" s="152" t="s">
        <v>530</v>
      </c>
      <c r="F32" s="771">
        <f>'A6b. Operations-Site 2'!E20</f>
        <v>0</v>
      </c>
      <c r="G32" s="153"/>
      <c r="H32" s="153"/>
      <c r="I32" s="279"/>
    </row>
    <row r="33" spans="2:22" ht="15.5">
      <c r="B33" s="772"/>
      <c r="C33" s="1" t="s">
        <v>531</v>
      </c>
      <c r="D33" s="1"/>
      <c r="E33" s="152" t="s">
        <v>532</v>
      </c>
      <c r="F33" s="771">
        <f>'A6b. Operations-Site 2'!E21+'A6b. Operations-Site 2'!E24</f>
        <v>0</v>
      </c>
      <c r="G33" s="153"/>
      <c r="H33" s="153"/>
      <c r="I33" s="140"/>
    </row>
    <row r="34" spans="2:22" ht="15.5">
      <c r="B34" s="1"/>
      <c r="C34" s="133"/>
      <c r="D34" s="133"/>
      <c r="E34" s="133"/>
      <c r="F34" s="154"/>
      <c r="G34" s="155"/>
      <c r="H34" s="155"/>
      <c r="I34" s="156"/>
    </row>
    <row r="35" spans="2:22" ht="17.5">
      <c r="B35" s="769" t="s">
        <v>533</v>
      </c>
      <c r="C35" s="133"/>
      <c r="D35" s="133"/>
      <c r="E35" s="133"/>
      <c r="F35" s="149"/>
      <c r="G35" s="150"/>
      <c r="H35" s="150"/>
      <c r="I35" s="773"/>
    </row>
    <row r="36" spans="2:22" ht="15.5">
      <c r="B36" s="755" t="s">
        <v>534</v>
      </c>
      <c r="C36" s="133"/>
      <c r="D36" s="133"/>
      <c r="E36" s="133"/>
      <c r="F36" s="149"/>
      <c r="G36" s="150"/>
      <c r="H36" s="150"/>
      <c r="I36" s="773"/>
    </row>
    <row r="37" spans="2:22" ht="15.5">
      <c r="B37" s="755" t="s">
        <v>535</v>
      </c>
      <c r="C37" s="133"/>
      <c r="D37" s="133"/>
      <c r="E37" s="133"/>
      <c r="F37" s="149"/>
      <c r="G37" s="150"/>
      <c r="H37" s="150"/>
      <c r="I37" s="773"/>
    </row>
    <row r="38" spans="2:22" ht="15.5">
      <c r="B38" s="157"/>
      <c r="C38" s="133"/>
      <c r="D38" s="133"/>
      <c r="E38" s="133"/>
      <c r="F38" s="158" t="s">
        <v>536</v>
      </c>
      <c r="G38" s="159"/>
      <c r="H38" s="159"/>
      <c r="I38" s="746" t="s">
        <v>880</v>
      </c>
      <c r="J38" s="774"/>
      <c r="K38" s="774"/>
      <c r="L38" s="774"/>
      <c r="M38" s="774"/>
      <c r="N38" s="774"/>
      <c r="O38" s="774"/>
      <c r="P38" s="774"/>
      <c r="Q38" s="774"/>
      <c r="R38" s="774"/>
      <c r="S38" s="774"/>
      <c r="T38" s="774"/>
      <c r="U38" s="774"/>
      <c r="V38" s="774"/>
    </row>
    <row r="39" spans="2:22" ht="15.5">
      <c r="B39" s="160"/>
      <c r="C39" s="775" t="s">
        <v>537</v>
      </c>
      <c r="D39" s="775"/>
      <c r="E39" s="775"/>
      <c r="F39" s="158"/>
      <c r="G39" s="159"/>
      <c r="H39" s="159"/>
      <c r="I39" s="746"/>
      <c r="J39" s="774"/>
      <c r="K39" s="774"/>
      <c r="L39" s="774"/>
      <c r="M39" s="774"/>
      <c r="N39" s="774"/>
      <c r="O39" s="774"/>
      <c r="P39" s="774"/>
      <c r="Q39" s="774"/>
      <c r="R39" s="774"/>
      <c r="S39" s="774"/>
      <c r="T39" s="774"/>
      <c r="U39" s="774"/>
      <c r="V39" s="774"/>
    </row>
    <row r="40" spans="2:22" ht="15.5">
      <c r="B40" s="160"/>
      <c r="C40" s="776" t="s">
        <v>538</v>
      </c>
      <c r="D40" s="776"/>
      <c r="E40" s="777" t="s">
        <v>539</v>
      </c>
      <c r="F40" s="771">
        <f>'A6b. Operations-Site 2'!E38+'A6b. Operations-Site 2'!E39</f>
        <v>0</v>
      </c>
      <c r="G40" s="153"/>
      <c r="H40" s="153"/>
      <c r="I40" s="747" t="str">
        <f>+IFERROR(F40/$F$73,"")</f>
        <v/>
      </c>
      <c r="J40" s="774"/>
      <c r="K40" s="774"/>
      <c r="L40" s="774"/>
      <c r="M40" s="774"/>
      <c r="N40" s="774"/>
      <c r="O40" s="774"/>
      <c r="P40" s="774"/>
      <c r="Q40" s="774"/>
      <c r="R40" s="774"/>
      <c r="S40" s="774"/>
      <c r="T40" s="774"/>
      <c r="U40" s="774"/>
      <c r="V40" s="774"/>
    </row>
    <row r="41" spans="2:22" ht="15.5">
      <c r="B41" s="160"/>
      <c r="C41" s="776" t="s">
        <v>540</v>
      </c>
      <c r="D41" s="776"/>
      <c r="E41" s="777" t="s">
        <v>541</v>
      </c>
      <c r="F41" s="771">
        <f>'A6b. Operations-Site 2'!E40+'A6b. Operations-Site 2'!E41</f>
        <v>0</v>
      </c>
      <c r="G41" s="153"/>
      <c r="H41" s="153"/>
      <c r="I41" s="747" t="str">
        <f t="shared" ref="I41:I43" si="0">+IFERROR(F41/$F$73,"")</f>
        <v/>
      </c>
      <c r="J41" s="774"/>
      <c r="K41" s="774"/>
      <c r="L41" s="774"/>
      <c r="M41" s="774"/>
      <c r="N41" s="774"/>
      <c r="O41" s="774"/>
      <c r="P41" s="774"/>
      <c r="Q41" s="774"/>
      <c r="R41" s="774"/>
      <c r="S41" s="774"/>
      <c r="T41" s="774"/>
      <c r="U41" s="774"/>
      <c r="V41" s="774"/>
    </row>
    <row r="42" spans="2:22" ht="15.5">
      <c r="B42" s="160"/>
      <c r="C42" s="776" t="s">
        <v>542</v>
      </c>
      <c r="D42" s="776"/>
      <c r="E42" s="777" t="s">
        <v>543</v>
      </c>
      <c r="F42" s="771">
        <f>'A6b. Operations-Site 2'!E42</f>
        <v>0</v>
      </c>
      <c r="G42" s="153"/>
      <c r="H42" s="153"/>
      <c r="I42" s="747" t="str">
        <f t="shared" si="0"/>
        <v/>
      </c>
      <c r="J42" s="774"/>
      <c r="K42" s="774"/>
      <c r="L42" s="774"/>
      <c r="M42" s="774"/>
      <c r="N42" s="774"/>
      <c r="O42" s="774"/>
      <c r="P42" s="774"/>
      <c r="Q42" s="774"/>
      <c r="R42" s="774"/>
      <c r="S42" s="774"/>
      <c r="T42" s="774"/>
      <c r="U42" s="774"/>
      <c r="V42" s="774"/>
    </row>
    <row r="43" spans="2:22" ht="15.5">
      <c r="B43" s="160"/>
      <c r="C43" s="776" t="s">
        <v>544</v>
      </c>
      <c r="D43" s="776"/>
      <c r="E43" s="777" t="s">
        <v>545</v>
      </c>
      <c r="F43" s="771">
        <f>'A6b. Operations-Site 2'!E43</f>
        <v>0</v>
      </c>
      <c r="G43" s="161"/>
      <c r="H43" s="161"/>
      <c r="I43" s="747" t="str">
        <f t="shared" si="0"/>
        <v/>
      </c>
      <c r="J43" s="774"/>
      <c r="K43" s="774"/>
      <c r="L43" s="774"/>
      <c r="M43" s="774"/>
      <c r="N43" s="774"/>
      <c r="O43" s="774"/>
      <c r="P43" s="774"/>
      <c r="Q43" s="774"/>
      <c r="R43" s="774"/>
      <c r="S43" s="774"/>
      <c r="T43" s="774"/>
      <c r="U43" s="774"/>
      <c r="V43" s="774"/>
    </row>
    <row r="44" spans="2:22" ht="15.5">
      <c r="B44" s="160"/>
      <c r="C44" s="776" t="s">
        <v>546</v>
      </c>
      <c r="D44" s="776"/>
      <c r="E44" s="777" t="s">
        <v>547</v>
      </c>
      <c r="F44" s="778">
        <f>'A6b. Operations-Site 2'!E44</f>
        <v>0</v>
      </c>
      <c r="G44" s="153"/>
      <c r="H44" s="433"/>
      <c r="I44" s="747"/>
      <c r="J44" s="774"/>
      <c r="K44" s="774"/>
      <c r="L44" s="700"/>
      <c r="M44" s="700"/>
      <c r="N44" s="700"/>
      <c r="O44" s="700"/>
      <c r="P44" s="774"/>
      <c r="Q44" s="774"/>
      <c r="R44" s="774"/>
      <c r="S44" s="774"/>
      <c r="T44" s="774"/>
      <c r="U44" s="774"/>
      <c r="V44" s="774"/>
    </row>
    <row r="45" spans="2:22" ht="15.5">
      <c r="B45" s="160"/>
      <c r="C45" s="776" t="s">
        <v>548</v>
      </c>
      <c r="D45" s="776"/>
      <c r="E45" s="777" t="s">
        <v>549</v>
      </c>
      <c r="F45" s="771">
        <f>'A4. KPIs'!F61</f>
        <v>0</v>
      </c>
      <c r="G45" s="162"/>
      <c r="H45" s="162"/>
      <c r="I45" s="779"/>
      <c r="J45" s="774"/>
      <c r="K45" s="774"/>
      <c r="L45" s="774"/>
      <c r="M45" s="774"/>
      <c r="N45" s="774"/>
      <c r="O45" s="774"/>
      <c r="P45" s="774"/>
      <c r="Q45" s="774"/>
      <c r="R45" s="774"/>
      <c r="S45" s="774"/>
      <c r="T45" s="774"/>
      <c r="U45" s="774"/>
      <c r="V45" s="774"/>
    </row>
    <row r="46" spans="2:22" ht="15.5">
      <c r="B46" s="157"/>
      <c r="C46" s="776"/>
      <c r="D46" s="776"/>
      <c r="E46" s="776"/>
      <c r="F46" s="780"/>
      <c r="G46" s="780"/>
      <c r="H46" s="780"/>
      <c r="I46" s="748"/>
      <c r="J46" s="774"/>
      <c r="K46" s="774"/>
      <c r="L46" s="774"/>
      <c r="M46" s="774"/>
      <c r="N46" s="774"/>
      <c r="O46" s="774"/>
      <c r="P46" s="774"/>
      <c r="Q46" s="774"/>
      <c r="R46" s="774"/>
      <c r="S46" s="774"/>
      <c r="T46" s="774"/>
      <c r="U46" s="774"/>
      <c r="V46" s="774"/>
    </row>
    <row r="47" spans="2:22" ht="15.5">
      <c r="B47" s="781"/>
      <c r="C47" s="775" t="s">
        <v>550</v>
      </c>
      <c r="D47" s="775"/>
      <c r="E47" s="775"/>
      <c r="F47" s="780"/>
      <c r="G47" s="780"/>
      <c r="H47" s="780"/>
      <c r="I47" s="748"/>
      <c r="J47" s="774"/>
      <c r="K47" s="774"/>
      <c r="L47" s="774"/>
      <c r="M47" s="774"/>
      <c r="N47" s="774"/>
      <c r="O47" s="774"/>
      <c r="P47" s="774"/>
      <c r="Q47" s="774"/>
      <c r="R47" s="774"/>
      <c r="S47" s="774"/>
      <c r="T47" s="774"/>
      <c r="U47" s="774"/>
      <c r="V47" s="774"/>
    </row>
    <row r="48" spans="2:22" ht="15.5">
      <c r="B48" s="160"/>
      <c r="C48" s="776" t="s">
        <v>551</v>
      </c>
      <c r="D48" s="776"/>
      <c r="E48" s="777" t="s">
        <v>552</v>
      </c>
      <c r="F48" s="771">
        <f>'A6b. Operations-Site 2'!E46+'A6b. Operations-Site 2'!E47</f>
        <v>0</v>
      </c>
      <c r="G48" s="161"/>
      <c r="H48" s="161"/>
      <c r="I48" s="747" t="str">
        <f>+IFERROR(F48/$F$73,"")</f>
        <v/>
      </c>
      <c r="J48" s="774"/>
      <c r="K48" s="774"/>
      <c r="L48" s="774"/>
      <c r="M48" s="774"/>
      <c r="N48" s="774"/>
      <c r="O48" s="774"/>
      <c r="P48" s="774"/>
      <c r="Q48" s="774"/>
      <c r="R48" s="774"/>
      <c r="S48" s="774"/>
      <c r="T48" s="774"/>
      <c r="U48" s="774"/>
      <c r="V48" s="774"/>
    </row>
    <row r="49" spans="2:22" ht="15.5">
      <c r="B49" s="160"/>
      <c r="C49" s="776" t="s">
        <v>553</v>
      </c>
      <c r="D49" s="776"/>
      <c r="E49" s="163" t="s">
        <v>554</v>
      </c>
      <c r="F49" s="771">
        <f>'A6b. Operations-Site 2'!E48+'A6b. Operations-Site 2'!E49</f>
        <v>0</v>
      </c>
      <c r="G49" s="161"/>
      <c r="H49" s="161"/>
      <c r="I49" s="747" t="str">
        <f t="shared" ref="I49:I52" si="1">+IFERROR(F49/$F$73,"")</f>
        <v/>
      </c>
      <c r="J49" s="774"/>
      <c r="K49" s="774"/>
      <c r="L49" s="774"/>
      <c r="M49" s="774"/>
      <c r="N49" s="774"/>
      <c r="O49" s="774"/>
      <c r="P49" s="774"/>
      <c r="Q49" s="774"/>
      <c r="R49" s="774"/>
      <c r="S49" s="774"/>
      <c r="T49" s="774"/>
      <c r="U49" s="774"/>
      <c r="V49" s="774"/>
    </row>
    <row r="50" spans="2:22" ht="15.5">
      <c r="B50" s="160"/>
      <c r="C50" s="776" t="s">
        <v>555</v>
      </c>
      <c r="D50" s="776"/>
      <c r="E50" s="163" t="s">
        <v>556</v>
      </c>
      <c r="F50" s="771">
        <f>'A6b. Operations-Site 2'!E50</f>
        <v>0</v>
      </c>
      <c r="G50" s="161"/>
      <c r="H50" s="161"/>
      <c r="I50" s="747" t="str">
        <f t="shared" si="1"/>
        <v/>
      </c>
      <c r="J50" s="774"/>
      <c r="K50" s="774"/>
      <c r="L50" s="774"/>
      <c r="M50" s="774"/>
      <c r="N50" s="774"/>
      <c r="O50" s="774"/>
      <c r="P50" s="774"/>
      <c r="Q50" s="774"/>
      <c r="R50" s="774"/>
      <c r="S50" s="774"/>
      <c r="T50" s="774"/>
      <c r="U50" s="774"/>
      <c r="V50" s="774"/>
    </row>
    <row r="51" spans="2:22" ht="15.5">
      <c r="B51" s="160"/>
      <c r="C51" s="776" t="s">
        <v>557</v>
      </c>
      <c r="D51" s="776"/>
      <c r="E51" s="163" t="s">
        <v>558</v>
      </c>
      <c r="F51" s="771">
        <f>'A6b. Operations-Site 2'!E51</f>
        <v>0</v>
      </c>
      <c r="G51" s="161"/>
      <c r="H51" s="161"/>
      <c r="I51" s="747" t="str">
        <f t="shared" si="1"/>
        <v/>
      </c>
      <c r="J51" s="774"/>
      <c r="K51" s="774"/>
      <c r="L51" s="774"/>
      <c r="M51" s="774"/>
      <c r="N51" s="774"/>
      <c r="O51" s="774"/>
      <c r="P51" s="774"/>
      <c r="Q51" s="774"/>
      <c r="R51" s="774"/>
      <c r="S51" s="774"/>
      <c r="T51" s="774"/>
      <c r="U51" s="774"/>
      <c r="V51" s="774"/>
    </row>
    <row r="52" spans="2:22" ht="15.5">
      <c r="B52" s="160"/>
      <c r="C52" s="776" t="s">
        <v>559</v>
      </c>
      <c r="D52" s="776"/>
      <c r="E52" s="163" t="s">
        <v>560</v>
      </c>
      <c r="F52" s="771">
        <f>'A6b. Operations-Site 2'!E52</f>
        <v>0</v>
      </c>
      <c r="G52" s="161"/>
      <c r="H52" s="161"/>
      <c r="I52" s="747" t="str">
        <f t="shared" si="1"/>
        <v/>
      </c>
      <c r="J52" s="774"/>
      <c r="K52" s="774"/>
      <c r="L52" s="774"/>
      <c r="M52" s="774"/>
      <c r="N52" s="774"/>
      <c r="O52" s="774"/>
      <c r="P52" s="774"/>
      <c r="Q52" s="774"/>
      <c r="R52" s="774"/>
      <c r="S52" s="774"/>
      <c r="T52" s="774"/>
      <c r="U52" s="774"/>
      <c r="V52" s="774"/>
    </row>
    <row r="53" spans="2:22" ht="15.5">
      <c r="B53" s="160"/>
      <c r="C53" s="776" t="s">
        <v>561</v>
      </c>
      <c r="D53" s="776"/>
      <c r="E53" s="163" t="s">
        <v>562</v>
      </c>
      <c r="F53" s="771">
        <f>'A4. KPIs'!F62</f>
        <v>0</v>
      </c>
      <c r="G53" s="164"/>
      <c r="H53" s="164"/>
      <c r="I53" s="749"/>
      <c r="J53" s="774"/>
      <c r="K53" s="774"/>
      <c r="L53" s="774"/>
      <c r="M53" s="774"/>
      <c r="N53" s="774"/>
      <c r="O53" s="774"/>
      <c r="P53" s="774"/>
      <c r="Q53" s="774"/>
      <c r="R53" s="774"/>
      <c r="S53" s="774"/>
      <c r="T53" s="774"/>
      <c r="U53" s="774"/>
      <c r="V53" s="774"/>
    </row>
    <row r="54" spans="2:22" ht="15.5">
      <c r="B54" s="157"/>
      <c r="C54" s="776"/>
      <c r="D54" s="776"/>
      <c r="E54" s="133"/>
      <c r="F54" s="780"/>
      <c r="G54" s="780"/>
      <c r="H54" s="780"/>
      <c r="I54" s="748"/>
      <c r="J54" s="774"/>
      <c r="K54" s="774"/>
      <c r="L54" s="774"/>
      <c r="M54" s="774"/>
      <c r="N54" s="774"/>
      <c r="O54" s="774"/>
      <c r="P54" s="774"/>
      <c r="Q54" s="774"/>
      <c r="R54" s="774"/>
      <c r="S54" s="774"/>
      <c r="T54" s="774"/>
      <c r="U54" s="774"/>
      <c r="V54" s="774"/>
    </row>
    <row r="55" spans="2:22" ht="15.5">
      <c r="B55" s="781"/>
      <c r="C55" s="775" t="s">
        <v>231</v>
      </c>
      <c r="D55" s="775"/>
      <c r="E55" s="133"/>
      <c r="F55" s="780"/>
      <c r="G55" s="780"/>
      <c r="H55" s="780"/>
      <c r="I55" s="748"/>
      <c r="J55" s="774"/>
      <c r="K55" s="774"/>
      <c r="L55" s="774"/>
      <c r="M55" s="774"/>
      <c r="N55" s="774"/>
      <c r="O55" s="774"/>
      <c r="P55" s="774"/>
      <c r="Q55" s="774"/>
      <c r="R55" s="774"/>
      <c r="S55" s="774"/>
      <c r="T55" s="774"/>
      <c r="U55" s="774"/>
      <c r="V55" s="774"/>
    </row>
    <row r="56" spans="2:22" ht="15.5">
      <c r="B56" s="160"/>
      <c r="C56" s="776" t="s">
        <v>563</v>
      </c>
      <c r="D56" s="776"/>
      <c r="E56" s="163" t="s">
        <v>564</v>
      </c>
      <c r="F56" s="771">
        <f>'A6b. Operations-Site 2'!E67</f>
        <v>0</v>
      </c>
      <c r="G56" s="153"/>
      <c r="H56" s="153"/>
      <c r="I56" s="747" t="str">
        <f>+IFERROR(F56/$F$73,"")</f>
        <v/>
      </c>
      <c r="J56" s="774"/>
      <c r="K56" s="774"/>
      <c r="L56" s="774"/>
      <c r="M56" s="774"/>
      <c r="N56" s="774"/>
      <c r="O56" s="774"/>
      <c r="P56" s="774"/>
      <c r="Q56" s="774"/>
      <c r="R56" s="774"/>
      <c r="S56" s="774"/>
      <c r="T56" s="774"/>
      <c r="U56" s="774"/>
      <c r="V56" s="774"/>
    </row>
    <row r="57" spans="2:22" ht="15.5">
      <c r="B57" s="160"/>
      <c r="C57" s="776" t="s">
        <v>565</v>
      </c>
      <c r="D57" s="776"/>
      <c r="E57" s="163" t="s">
        <v>566</v>
      </c>
      <c r="F57" s="771">
        <f>'A6b. Operations-Site 2'!E63</f>
        <v>0</v>
      </c>
      <c r="G57" s="153"/>
      <c r="H57" s="153"/>
      <c r="I57" s="747" t="str">
        <f t="shared" ref="I57:I60" si="2">+IFERROR(F57/$F$73,"")</f>
        <v/>
      </c>
      <c r="J57" s="774"/>
      <c r="K57" s="774"/>
      <c r="L57" s="774"/>
      <c r="M57" s="774"/>
      <c r="N57" s="774"/>
      <c r="O57" s="774"/>
      <c r="P57" s="774"/>
      <c r="Q57" s="774"/>
      <c r="R57" s="774"/>
      <c r="S57" s="774"/>
      <c r="T57" s="774"/>
      <c r="U57" s="774"/>
      <c r="V57" s="774"/>
    </row>
    <row r="58" spans="2:22" ht="34.5" customHeight="1">
      <c r="B58" s="160"/>
      <c r="C58" s="133" t="s">
        <v>567</v>
      </c>
      <c r="D58" s="776"/>
      <c r="E58" s="163" t="s">
        <v>568</v>
      </c>
      <c r="F58" s="771">
        <f>'A6b. Operations-Site 2'!E82</f>
        <v>0</v>
      </c>
      <c r="G58" s="153"/>
      <c r="H58" s="153"/>
      <c r="I58" s="747" t="str">
        <f t="shared" si="2"/>
        <v/>
      </c>
      <c r="J58" s="774"/>
      <c r="K58" s="774"/>
      <c r="L58" s="774"/>
      <c r="M58" s="774"/>
      <c r="N58" s="774"/>
      <c r="O58" s="774"/>
      <c r="P58" s="774"/>
      <c r="Q58" s="774"/>
      <c r="R58" s="774"/>
      <c r="S58" s="774"/>
      <c r="T58" s="774"/>
      <c r="U58" s="774"/>
      <c r="V58" s="774"/>
    </row>
    <row r="59" spans="2:22" ht="15.5">
      <c r="B59" s="160"/>
      <c r="C59" s="776" t="s">
        <v>569</v>
      </c>
      <c r="D59" s="776"/>
      <c r="E59" s="163" t="s">
        <v>570</v>
      </c>
      <c r="F59" s="771">
        <f>'A6b. Operations-Site 2'!E64</f>
        <v>0</v>
      </c>
      <c r="G59" s="153"/>
      <c r="H59" s="153"/>
      <c r="I59" s="747" t="str">
        <f t="shared" si="2"/>
        <v/>
      </c>
      <c r="J59" s="774"/>
      <c r="K59" s="774"/>
      <c r="L59" s="774"/>
      <c r="M59" s="774"/>
      <c r="N59" s="774"/>
      <c r="O59" s="774"/>
      <c r="P59" s="774"/>
      <c r="Q59" s="774"/>
      <c r="R59" s="774"/>
      <c r="S59" s="774"/>
      <c r="T59" s="774"/>
      <c r="U59" s="774"/>
      <c r="V59" s="774"/>
    </row>
    <row r="60" spans="2:22" ht="15.5">
      <c r="B60" s="160"/>
      <c r="C60" s="776" t="s">
        <v>571</v>
      </c>
      <c r="D60" s="776"/>
      <c r="E60" s="163" t="s">
        <v>572</v>
      </c>
      <c r="F60" s="771">
        <f>'A6b. Operations-Site 2'!E69</f>
        <v>0</v>
      </c>
      <c r="G60" s="153"/>
      <c r="H60" s="153"/>
      <c r="I60" s="747" t="str">
        <f t="shared" si="2"/>
        <v/>
      </c>
      <c r="J60" s="774"/>
      <c r="K60" s="774"/>
      <c r="L60" s="774"/>
      <c r="M60" s="774"/>
      <c r="N60" s="774"/>
      <c r="O60" s="774"/>
      <c r="P60" s="774"/>
      <c r="Q60" s="774"/>
      <c r="R60" s="774"/>
      <c r="S60" s="774"/>
      <c r="T60" s="774"/>
      <c r="U60" s="774"/>
      <c r="V60" s="774"/>
    </row>
    <row r="61" spans="2:22" ht="15.5">
      <c r="B61" s="157"/>
      <c r="C61" s="133"/>
      <c r="D61" s="133"/>
      <c r="E61" s="133"/>
      <c r="F61" s="133"/>
      <c r="G61" s="133"/>
      <c r="H61" s="133"/>
      <c r="I61" s="782"/>
      <c r="J61" s="774"/>
      <c r="K61" s="774"/>
      <c r="L61" s="774"/>
      <c r="M61" s="774"/>
      <c r="N61" s="774"/>
      <c r="O61" s="774"/>
      <c r="P61" s="774"/>
      <c r="Q61" s="774"/>
      <c r="R61" s="774"/>
      <c r="S61" s="774"/>
      <c r="T61" s="774"/>
      <c r="U61" s="774"/>
      <c r="V61" s="774"/>
    </row>
    <row r="62" spans="2:22" ht="15.5">
      <c r="B62" s="157"/>
      <c r="C62" s="775" t="s">
        <v>89</v>
      </c>
      <c r="D62" s="775"/>
      <c r="E62" s="775"/>
      <c r="F62" s="1"/>
      <c r="G62" s="1"/>
      <c r="H62" s="1"/>
      <c r="I62" s="748"/>
      <c r="J62" s="774"/>
      <c r="K62" s="774"/>
      <c r="L62" s="774"/>
      <c r="M62" s="774"/>
      <c r="N62" s="774"/>
      <c r="O62" s="774"/>
      <c r="P62" s="774"/>
      <c r="Q62" s="774"/>
      <c r="R62" s="774"/>
      <c r="S62" s="774"/>
      <c r="T62" s="774"/>
      <c r="U62" s="774"/>
      <c r="V62" s="774"/>
    </row>
    <row r="63" spans="2:22" ht="22.5" customHeight="1">
      <c r="B63" s="783"/>
      <c r="C63" s="136" t="s">
        <v>573</v>
      </c>
      <c r="D63" s="136"/>
      <c r="E63" s="784" t="s">
        <v>574</v>
      </c>
      <c r="F63" s="785">
        <f>'A6b. Operations-Site 2'!E54+'A6b. Operations-Site 2'!E56+'A6b. Operations-Site 2'!E58+'A6b. Operations-Site 2'!E60</f>
        <v>0</v>
      </c>
      <c r="G63" s="165"/>
      <c r="H63" s="165"/>
      <c r="I63" s="747" t="str">
        <f>+IFERROR(F63/$F$73,"")</f>
        <v/>
      </c>
      <c r="J63" s="774"/>
      <c r="K63" s="774"/>
      <c r="L63" s="774"/>
      <c r="M63" s="774"/>
      <c r="N63" s="774"/>
      <c r="O63" s="774"/>
      <c r="P63" s="774"/>
      <c r="Q63" s="774"/>
      <c r="R63" s="774"/>
      <c r="S63" s="774"/>
      <c r="T63" s="774"/>
      <c r="U63" s="774"/>
      <c r="V63" s="774"/>
    </row>
    <row r="64" spans="2:22" ht="15">
      <c r="B64" s="783"/>
      <c r="C64" s="136" t="s">
        <v>575</v>
      </c>
      <c r="D64" s="136"/>
      <c r="E64" s="784" t="s">
        <v>576</v>
      </c>
      <c r="F64" s="786">
        <f>'A6b. Operations-Site 2'!E55+'A6b. Operations-Site 2'!E57</f>
        <v>0</v>
      </c>
      <c r="G64" s="165"/>
      <c r="H64" s="165"/>
      <c r="I64" s="747" t="str">
        <f t="shared" ref="I64:I70" si="3">+IFERROR(F64/$F$73,"")</f>
        <v/>
      </c>
      <c r="J64" s="774"/>
      <c r="K64" s="774"/>
      <c r="L64" s="774"/>
      <c r="M64" s="774"/>
      <c r="N64" s="774"/>
      <c r="O64" s="774"/>
      <c r="P64" s="774"/>
      <c r="Q64" s="774"/>
      <c r="R64" s="774"/>
      <c r="S64" s="774"/>
      <c r="T64" s="774"/>
      <c r="U64" s="774"/>
      <c r="V64" s="774"/>
    </row>
    <row r="65" spans="2:22" ht="15">
      <c r="B65" s="783"/>
      <c r="C65" s="136" t="s">
        <v>577</v>
      </c>
      <c r="D65" s="136"/>
      <c r="E65" s="784" t="s">
        <v>578</v>
      </c>
      <c r="F65" s="785">
        <f>'A6b. Operations-Site 2'!E72+'A6b. Operations-Site 2'!E73+'A6b. Operations-Site 2'!E74</f>
        <v>0</v>
      </c>
      <c r="G65" s="165"/>
      <c r="H65" s="165"/>
      <c r="I65" s="747" t="str">
        <f t="shared" si="3"/>
        <v/>
      </c>
      <c r="J65" s="774"/>
      <c r="K65" s="774"/>
      <c r="L65" s="774"/>
      <c r="M65" s="774"/>
      <c r="N65" s="774"/>
      <c r="O65" s="774"/>
      <c r="P65" s="774"/>
      <c r="Q65" s="774"/>
      <c r="R65" s="774"/>
      <c r="S65" s="774"/>
      <c r="T65" s="774"/>
      <c r="U65" s="774"/>
      <c r="V65" s="774"/>
    </row>
    <row r="66" spans="2:22" ht="30">
      <c r="B66" s="783"/>
      <c r="C66" s="136" t="s">
        <v>579</v>
      </c>
      <c r="D66" s="136"/>
      <c r="E66" s="784" t="s">
        <v>580</v>
      </c>
      <c r="F66" s="785">
        <f>'A6b. Operations-Site 2'!E65+'A6b. Operations-Site 2'!E68+'A6b. Operations-Site 2'!E81+'A6b. Operations-Site 2'!E88+'A6b. Operations-Site 2'!E94</f>
        <v>0</v>
      </c>
      <c r="G66" s="165"/>
      <c r="H66" s="165"/>
      <c r="I66" s="747" t="str">
        <f t="shared" si="3"/>
        <v/>
      </c>
      <c r="J66" s="774"/>
      <c r="K66" s="774"/>
      <c r="L66" s="774"/>
      <c r="M66" s="774"/>
      <c r="N66" s="774"/>
      <c r="O66" s="774"/>
      <c r="P66" s="774"/>
      <c r="Q66" s="774"/>
      <c r="R66" s="774"/>
      <c r="S66" s="774"/>
      <c r="T66" s="774"/>
      <c r="U66" s="774"/>
      <c r="V66" s="774"/>
    </row>
    <row r="67" spans="2:22" ht="15">
      <c r="B67" s="783"/>
      <c r="C67" s="136" t="s">
        <v>581</v>
      </c>
      <c r="D67" s="136"/>
      <c r="E67" s="784" t="s">
        <v>582</v>
      </c>
      <c r="F67" s="785">
        <f>'A6b. Operations-Site 2'!E77+'A6b. Operations-Site 2'!E78</f>
        <v>0</v>
      </c>
      <c r="G67" s="165"/>
      <c r="H67" s="165"/>
      <c r="I67" s="747" t="str">
        <f t="shared" si="3"/>
        <v/>
      </c>
      <c r="J67" s="774"/>
      <c r="K67" s="774"/>
      <c r="L67" s="774"/>
      <c r="M67" s="774"/>
      <c r="N67" s="774"/>
      <c r="O67" s="774"/>
      <c r="P67" s="774"/>
      <c r="Q67" s="774"/>
      <c r="R67" s="774"/>
      <c r="S67" s="774"/>
      <c r="T67" s="774"/>
      <c r="U67" s="774"/>
      <c r="V67" s="774"/>
    </row>
    <row r="68" spans="2:22" ht="15">
      <c r="B68" s="783"/>
      <c r="C68" s="136" t="s">
        <v>583</v>
      </c>
      <c r="D68" s="136"/>
      <c r="E68" s="784" t="s">
        <v>584</v>
      </c>
      <c r="F68" s="785">
        <f>'A6b. Operations-Site 2'!E66+'A6b. Operations-Site 2'!E105</f>
        <v>0</v>
      </c>
      <c r="G68" s="165"/>
      <c r="H68" s="165"/>
      <c r="I68" s="747" t="str">
        <f>+IFERROR(F68/$F$73,"")</f>
        <v/>
      </c>
      <c r="J68" s="774"/>
      <c r="K68" s="774"/>
      <c r="L68" s="774"/>
      <c r="M68" s="774"/>
      <c r="N68" s="774"/>
      <c r="O68" s="774"/>
      <c r="P68" s="774"/>
      <c r="Q68" s="774"/>
      <c r="R68" s="774"/>
      <c r="S68" s="774"/>
      <c r="T68" s="774"/>
      <c r="U68" s="774"/>
      <c r="V68" s="774"/>
    </row>
    <row r="69" spans="2:22" ht="15">
      <c r="B69" s="783"/>
      <c r="C69" s="136" t="s">
        <v>585</v>
      </c>
      <c r="D69" s="136"/>
      <c r="E69" s="784" t="s">
        <v>586</v>
      </c>
      <c r="F69" s="785">
        <f>'A6b. Operations-Site 2'!E89+'A6b. Operations-Site 2'!E90</f>
        <v>0</v>
      </c>
      <c r="G69" s="165"/>
      <c r="H69" s="165"/>
      <c r="I69" s="747" t="str">
        <f t="shared" si="3"/>
        <v/>
      </c>
      <c r="J69" s="774"/>
      <c r="K69" s="774"/>
      <c r="L69" s="774"/>
      <c r="M69" s="774"/>
      <c r="N69" s="774"/>
      <c r="O69" s="774"/>
      <c r="P69" s="774"/>
      <c r="Q69" s="774"/>
      <c r="R69" s="774"/>
      <c r="S69" s="774"/>
      <c r="T69" s="774"/>
      <c r="U69" s="774"/>
      <c r="V69" s="774"/>
    </row>
    <row r="70" spans="2:22" ht="15" hidden="1">
      <c r="B70" s="783"/>
      <c r="C70" s="136" t="s">
        <v>587</v>
      </c>
      <c r="D70" s="136"/>
      <c r="E70" s="784" t="s">
        <v>588</v>
      </c>
      <c r="F70" s="785"/>
      <c r="G70" s="165"/>
      <c r="H70" s="165"/>
      <c r="I70" s="747" t="str">
        <f t="shared" si="3"/>
        <v/>
      </c>
      <c r="J70" s="774"/>
      <c r="K70" s="774"/>
      <c r="L70" s="774"/>
      <c r="M70" s="774"/>
      <c r="N70" s="774"/>
      <c r="O70" s="774"/>
      <c r="P70" s="774"/>
      <c r="Q70" s="774"/>
      <c r="R70" s="774"/>
      <c r="S70" s="774"/>
      <c r="T70" s="774"/>
      <c r="U70" s="774"/>
      <c r="V70" s="774"/>
    </row>
    <row r="71" spans="2:22" ht="15">
      <c r="B71" s="783"/>
      <c r="C71" s="136" t="s">
        <v>589</v>
      </c>
      <c r="D71" s="136"/>
      <c r="E71" s="784" t="s">
        <v>590</v>
      </c>
      <c r="F71" s="785">
        <f>'A6b. Operations-Site 2'!E84+'A6b. Operations-Site 2'!E85+'A6b. Operations-Site 2'!E86+'A6b. Operations-Site 2'!E87+'A6b. Operations-Site 2'!E91+'A6b. Operations-Site 2'!E92+'A6b. Operations-Site 2'!E93+'A6b. Operations-Site 2'!E95+'A6b. Operations-Site 2'!E96+'A6b. Operations-Site 2'!E98+'A6b. Operations-Site 2'!E99+'A6b. Operations-Site 2'!E100+'A6b. Operations-Site 2'!E101+'A6b. Operations-Site 2'!E107+'A6b. Operations-Site 2'!E108</f>
        <v>0</v>
      </c>
      <c r="G71" s="165"/>
      <c r="H71" s="165"/>
      <c r="I71" s="747" t="str">
        <f>+IFERROR(F71/$F$73,"")</f>
        <v/>
      </c>
      <c r="J71" s="774"/>
      <c r="K71" s="774"/>
      <c r="L71" s="774"/>
      <c r="M71" s="774"/>
      <c r="N71" s="774"/>
      <c r="O71" s="774"/>
      <c r="P71" s="774"/>
      <c r="Q71" s="774"/>
      <c r="R71" s="774"/>
      <c r="S71" s="774"/>
      <c r="T71" s="774"/>
      <c r="U71" s="774"/>
      <c r="V71" s="774"/>
    </row>
    <row r="72" spans="2:22" ht="15.5">
      <c r="B72" s="157"/>
      <c r="C72" s="776"/>
      <c r="D72" s="776"/>
      <c r="E72" s="776"/>
      <c r="F72" s="780"/>
      <c r="G72" s="780"/>
      <c r="H72" s="780"/>
      <c r="I72" s="787"/>
      <c r="J72" s="774"/>
      <c r="K72" s="774"/>
      <c r="L72" s="774"/>
      <c r="M72" s="774"/>
      <c r="N72" s="774"/>
      <c r="O72" s="774"/>
      <c r="P72" s="774"/>
      <c r="Q72" s="774"/>
      <c r="R72" s="774"/>
      <c r="S72" s="774"/>
      <c r="T72" s="774"/>
      <c r="U72" s="774"/>
      <c r="V72" s="774"/>
    </row>
    <row r="73" spans="2:22" ht="30.5">
      <c r="B73" s="157"/>
      <c r="C73" s="788" t="s">
        <v>591</v>
      </c>
      <c r="D73" s="788"/>
      <c r="E73" s="788"/>
      <c r="F73" s="166">
        <f>+SUM(F40:F44,F48:F52,F56:F60,F63:F71)</f>
        <v>0</v>
      </c>
      <c r="G73" s="166"/>
      <c r="H73" s="166"/>
      <c r="I73" s="750">
        <f>+SUM(I40:I72)</f>
        <v>0</v>
      </c>
      <c r="J73" s="774"/>
      <c r="K73" s="774"/>
      <c r="L73" s="774"/>
      <c r="M73" s="774"/>
      <c r="N73" s="774"/>
      <c r="O73" s="774"/>
      <c r="P73" s="774"/>
      <c r="Q73" s="774"/>
      <c r="R73" s="774"/>
      <c r="S73" s="774"/>
      <c r="T73" s="774"/>
      <c r="U73" s="774"/>
      <c r="V73" s="774"/>
    </row>
    <row r="74" spans="2:22" ht="15.5">
      <c r="B74" s="157"/>
      <c r="C74" s="788"/>
      <c r="D74" s="788"/>
      <c r="E74" s="788"/>
      <c r="F74" s="166"/>
      <c r="G74" s="166"/>
      <c r="H74" s="166"/>
      <c r="I74" s="434"/>
      <c r="J74" s="774"/>
      <c r="K74" s="774"/>
      <c r="L74" s="774"/>
      <c r="M74" s="774"/>
      <c r="N74" s="774"/>
      <c r="O74" s="774"/>
      <c r="P74" s="774"/>
      <c r="Q74" s="774"/>
      <c r="R74" s="774"/>
      <c r="S74" s="774"/>
      <c r="T74" s="774"/>
      <c r="U74" s="774"/>
      <c r="V74" s="774"/>
    </row>
    <row r="75" spans="2:22" ht="15.5">
      <c r="B75" s="160"/>
      <c r="C75" s="776" t="s">
        <v>592</v>
      </c>
      <c r="D75" s="776"/>
      <c r="E75" s="789" t="s">
        <v>593</v>
      </c>
      <c r="F75" s="771">
        <f>'A3. Peel Region Grants'!E81+'A3. Peel Region Grants'!E122</f>
        <v>0</v>
      </c>
      <c r="G75" s="153"/>
      <c r="H75" s="153"/>
      <c r="I75" s="211"/>
      <c r="J75" s="774"/>
      <c r="K75" s="774"/>
      <c r="L75" s="774"/>
      <c r="M75" s="774"/>
      <c r="N75" s="774"/>
      <c r="O75" s="774"/>
      <c r="P75" s="774"/>
      <c r="Q75" s="774"/>
      <c r="R75" s="774"/>
      <c r="S75" s="774"/>
      <c r="T75" s="774"/>
      <c r="U75" s="774"/>
      <c r="V75" s="774"/>
    </row>
    <row r="76" spans="2:22" ht="15.5">
      <c r="B76" s="1"/>
      <c r="C76" s="133"/>
      <c r="D76" s="133"/>
      <c r="E76" s="133"/>
      <c r="F76" s="1"/>
      <c r="G76" s="1"/>
      <c r="H76" s="1"/>
      <c r="I76" s="595"/>
      <c r="J76" s="774"/>
      <c r="K76" s="774"/>
      <c r="L76" s="774"/>
      <c r="M76" s="774"/>
      <c r="N76" s="774"/>
      <c r="O76" s="774"/>
      <c r="P76" s="774"/>
      <c r="Q76" s="774"/>
      <c r="R76" s="774"/>
      <c r="S76" s="774"/>
      <c r="T76" s="774"/>
      <c r="U76" s="774"/>
      <c r="V76" s="774"/>
    </row>
    <row r="77" spans="2:22" ht="30.5">
      <c r="B77" s="1"/>
      <c r="C77" s="788" t="s">
        <v>594</v>
      </c>
      <c r="D77" s="788"/>
      <c r="E77" s="788"/>
      <c r="F77" s="166">
        <f>+F73+F75</f>
        <v>0</v>
      </c>
      <c r="G77" s="166"/>
      <c r="H77" s="166"/>
      <c r="I77" s="434"/>
      <c r="J77" s="774"/>
      <c r="K77" s="774"/>
      <c r="L77" s="774"/>
      <c r="M77" s="774"/>
      <c r="N77" s="774"/>
      <c r="O77" s="774"/>
      <c r="P77" s="774"/>
      <c r="Q77" s="774"/>
      <c r="R77" s="774"/>
      <c r="S77" s="774"/>
      <c r="T77" s="774"/>
      <c r="U77" s="774"/>
      <c r="V77" s="774"/>
    </row>
    <row r="78" spans="2:22" ht="15.5">
      <c r="B78" s="1"/>
      <c r="C78" s="133"/>
      <c r="D78" s="133"/>
      <c r="E78" s="133"/>
      <c r="F78" s="130"/>
      <c r="G78" s="131"/>
      <c r="H78" s="131"/>
      <c r="I78" s="595"/>
      <c r="J78" s="774"/>
      <c r="K78" s="774"/>
      <c r="L78" s="774"/>
      <c r="M78" s="774"/>
      <c r="N78" s="774"/>
      <c r="O78" s="774"/>
      <c r="P78" s="774"/>
      <c r="Q78" s="774"/>
      <c r="R78" s="774"/>
      <c r="S78" s="774"/>
      <c r="T78" s="774"/>
      <c r="U78" s="774"/>
      <c r="V78" s="774"/>
    </row>
    <row r="79" spans="2:22" ht="30.5">
      <c r="B79" s="1"/>
      <c r="C79" s="790" t="str">
        <f>"Of the "&amp;TEXT(F77,"$#,###.00")&amp;", how much was specifically spent to support the inclusion of eligible children with special needs?"</f>
        <v>Of the $.00, how much was specifically spent to support the inclusion of eligible children with special needs?</v>
      </c>
      <c r="D79" s="788"/>
      <c r="E79" s="789" t="s">
        <v>595</v>
      </c>
      <c r="F79" s="771">
        <f>'A4. KPIs'!F54</f>
        <v>0</v>
      </c>
      <c r="G79" s="166"/>
      <c r="H79" s="166"/>
      <c r="I79" s="434"/>
      <c r="J79" s="774"/>
      <c r="K79" s="774"/>
      <c r="L79" s="774"/>
      <c r="M79" s="774"/>
      <c r="N79" s="774"/>
      <c r="O79" s="774"/>
      <c r="P79" s="774"/>
      <c r="Q79" s="774"/>
      <c r="R79" s="774"/>
      <c r="S79" s="774"/>
      <c r="T79" s="774"/>
      <c r="U79" s="774"/>
      <c r="V79" s="774"/>
    </row>
    <row r="80" spans="2:22" ht="15.5">
      <c r="B80" s="1"/>
      <c r="C80" s="133"/>
      <c r="D80" s="133"/>
      <c r="E80" s="133"/>
      <c r="F80" s="1"/>
      <c r="G80" s="1"/>
      <c r="H80" s="1"/>
      <c r="I80" s="595"/>
      <c r="J80" s="774"/>
      <c r="K80" s="774"/>
      <c r="L80" s="774"/>
      <c r="M80" s="774"/>
      <c r="N80" s="774"/>
      <c r="O80" s="774"/>
      <c r="P80" s="774"/>
      <c r="Q80" s="774"/>
      <c r="R80" s="774"/>
      <c r="S80" s="774"/>
      <c r="T80" s="774"/>
      <c r="U80" s="774"/>
      <c r="V80" s="774"/>
    </row>
    <row r="81" spans="2:22" ht="15.5">
      <c r="B81" s="148"/>
      <c r="C81" s="776" t="s">
        <v>596</v>
      </c>
      <c r="D81" s="776"/>
      <c r="E81" s="791"/>
      <c r="F81" s="1" t="s">
        <v>597</v>
      </c>
      <c r="G81" s="148"/>
      <c r="H81" s="148"/>
      <c r="I81" s="1" t="s">
        <v>598</v>
      </c>
      <c r="J81" s="774"/>
      <c r="K81" s="774"/>
      <c r="L81" s="774"/>
      <c r="M81" s="774"/>
      <c r="N81" s="774"/>
      <c r="O81" s="774"/>
      <c r="P81" s="774"/>
      <c r="Q81" s="774"/>
      <c r="R81" s="774"/>
      <c r="S81" s="774"/>
      <c r="T81" s="774"/>
      <c r="U81" s="774"/>
      <c r="V81" s="774"/>
    </row>
    <row r="82" spans="2:22" ht="15">
      <c r="B82" s="167" t="s">
        <v>599</v>
      </c>
      <c r="C82" s="792">
        <f>'A1. Identification'!D14</f>
        <v>0</v>
      </c>
      <c r="D82" s="168"/>
      <c r="E82" s="167" t="s">
        <v>600</v>
      </c>
      <c r="F82" s="793">
        <f>'A1. Identification'!D15</f>
        <v>0</v>
      </c>
      <c r="G82" s="169"/>
      <c r="H82" s="167" t="s">
        <v>601</v>
      </c>
      <c r="I82" s="794">
        <f>'A1. Identification'!D16</f>
        <v>0</v>
      </c>
    </row>
    <row r="85" spans="2:22" ht="17.5">
      <c r="B85" s="769" t="s">
        <v>602</v>
      </c>
      <c r="C85" s="133"/>
      <c r="D85" s="133"/>
      <c r="E85" s="133"/>
      <c r="F85" s="149"/>
      <c r="G85" s="170"/>
      <c r="H85" s="170"/>
      <c r="I85" s="773"/>
    </row>
    <row r="86" spans="2:22" ht="17.5">
      <c r="B86" s="769"/>
      <c r="C86" s="133"/>
      <c r="D86" s="133"/>
      <c r="E86" s="133"/>
      <c r="F86" s="149"/>
      <c r="G86" s="170"/>
      <c r="H86" s="170"/>
      <c r="I86" s="773"/>
    </row>
    <row r="87" spans="2:22" ht="17.5">
      <c r="B87" s="769"/>
      <c r="C87" s="1" t="s">
        <v>603</v>
      </c>
      <c r="D87" s="148"/>
      <c r="E87" s="133"/>
      <c r="F87" s="130"/>
      <c r="G87" s="170"/>
      <c r="H87" s="170"/>
      <c r="I87" s="773"/>
    </row>
    <row r="88" spans="2:22" ht="15.5">
      <c r="B88" s="167" t="s">
        <v>604</v>
      </c>
      <c r="C88" s="795">
        <f>'A1. Identification'!D17</f>
        <v>0</v>
      </c>
      <c r="D88" s="171"/>
      <c r="E88" s="133"/>
      <c r="F88" s="149"/>
      <c r="G88" s="170"/>
      <c r="H88" s="170"/>
      <c r="I88" s="773"/>
    </row>
    <row r="89" spans="2:22" ht="17.5">
      <c r="B89" s="769"/>
      <c r="C89" s="172" t="str">
        <f>IF(AND(C88="",F10=""),"WARNING: Signing Officer and License Number are needed to complete attestation.","")</f>
        <v/>
      </c>
      <c r="D89" s="171"/>
      <c r="E89" s="133"/>
      <c r="F89" s="150"/>
      <c r="G89" s="170"/>
      <c r="H89" s="170"/>
      <c r="I89" s="773"/>
    </row>
    <row r="90" spans="2:22" ht="15.5">
      <c r="B90" s="1"/>
      <c r="C90" s="796" t="str">
        <f>IF(C88="","[The attestation text will appear once box 4C is completed]","Attestation")</f>
        <v>Attestation</v>
      </c>
      <c r="D90" s="173"/>
      <c r="E90" s="133"/>
      <c r="F90" s="149"/>
      <c r="G90" s="149"/>
      <c r="H90" s="149"/>
      <c r="I90" s="773"/>
    </row>
    <row r="91" spans="2:22" ht="15.5">
      <c r="B91" s="1"/>
      <c r="C91" s="174" t="str">
        <f>IF(C88="","","I, "&amp;C88&amp;", confirm that:")</f>
        <v>I, 0, confirm that:</v>
      </c>
      <c r="D91" s="173"/>
      <c r="E91" s="133"/>
      <c r="F91" s="1"/>
      <c r="G91" s="149"/>
      <c r="H91" s="149"/>
      <c r="I91" s="773"/>
    </row>
    <row r="92" spans="2:22" ht="15.5">
      <c r="B92" s="1"/>
      <c r="C92" s="175" t="str">
        <f>IF(C88="",""," I have signing authority with respect to licence # "&amp;F8&amp;".")</f>
        <v xml:space="preserve"> I have signing authority with respect to licence # 0.</v>
      </c>
      <c r="D92" s="173"/>
      <c r="E92" s="133"/>
      <c r="F92" s="149"/>
      <c r="G92" s="149"/>
      <c r="H92" s="149"/>
      <c r="I92" s="773"/>
    </row>
    <row r="93" spans="2:22" ht="55.5" customHeight="1">
      <c r="B93" s="1"/>
      <c r="C93" s="175" t="str">
        <f>IF(C88="","","The information contained in this Standardized Financial Report for the reporting year "&amp;F14&amp;" is accurate and a true reflection of the eligible costs incurred by the licensee for which cost-based funding was used.")</f>
        <v>The information contained in this Standardized Financial Report for the reporting year 2025 is accurate and a true reflection of the eligible costs incurred by the licensee for which cost-based funding was used.</v>
      </c>
      <c r="D93" s="173"/>
      <c r="E93" s="133"/>
      <c r="F93" s="149"/>
      <c r="G93" s="149"/>
      <c r="H93" s="149"/>
      <c r="I93" s="773"/>
    </row>
    <row r="94" spans="2:22" ht="46.5" customHeight="1">
      <c r="B94" s="1"/>
      <c r="C94" s="175" t="str">
        <f>IF(C88="","","Cost-based allocation funding was used by the licensee to cover eligible costs only in accordance with the parameters established by "&amp;F9&amp;". ")</f>
        <v xml:space="preserve">Cost-based allocation funding was used by the licensee to cover eligible costs only in accordance with the parameters established by 0. </v>
      </c>
      <c r="D94" s="173"/>
      <c r="E94" s="133"/>
      <c r="F94" s="149"/>
      <c r="G94" s="149"/>
      <c r="H94" s="149"/>
      <c r="I94" s="773"/>
    </row>
    <row r="95" spans="2:22" ht="20">
      <c r="B95" s="1"/>
      <c r="C95" s="797" t="s">
        <v>605</v>
      </c>
      <c r="D95" s="797"/>
      <c r="E95" s="797"/>
      <c r="F95" s="2" t="s">
        <v>606</v>
      </c>
      <c r="G95" s="148"/>
      <c r="H95" s="148"/>
      <c r="I95" s="1"/>
    </row>
    <row r="96" spans="2:22" ht="20">
      <c r="B96" s="1"/>
      <c r="C96" s="870">
        <f>'A1. Identification'!D26</f>
        <v>0</v>
      </c>
      <c r="D96" s="176"/>
      <c r="E96" s="167" t="s">
        <v>607</v>
      </c>
      <c r="F96" s="798">
        <f>'A1. Identification'!D28</f>
        <v>0</v>
      </c>
      <c r="G96" s="171"/>
      <c r="H96" s="171"/>
      <c r="I96" s="1"/>
    </row>
    <row r="97" spans="2:9" ht="30.5">
      <c r="B97" s="1"/>
      <c r="C97" s="133" t="s">
        <v>608</v>
      </c>
      <c r="D97" s="133"/>
      <c r="E97" s="133"/>
      <c r="F97" s="177"/>
      <c r="G97" s="178"/>
      <c r="H97" s="156"/>
      <c r="I97" s="1"/>
    </row>
  </sheetData>
  <sheetProtection algorithmName="SHA-512" hashValue="MaFbTa1gQBlzbaLgUoV6R2HgA8zJiVouCEK+LGYKK+o1LmcRnqcL4gwHBvWkvjVIlD+lbPwdT5nZzRPcwHiTsw==" saltValue="WWotMJbGe+MMz2rR1wgZAA==" spinCount="100000" sheet="1" objects="1" scenarios="1"/>
  <dataConsolidate/>
  <mergeCells count="1">
    <mergeCell ref="A1:I1"/>
  </mergeCells>
  <conditionalFormatting sqref="C91:C94">
    <cfRule type="cellIs" dxfId="100" priority="3" operator="notEqual">
      <formula>""</formula>
    </cfRule>
  </conditionalFormatting>
  <conditionalFormatting sqref="C88:D88 D89:D94">
    <cfRule type="cellIs" dxfId="99" priority="4" operator="notEqual">
      <formula>""</formula>
    </cfRule>
  </conditionalFormatting>
  <conditionalFormatting sqref="C96:D96">
    <cfRule type="notContainsBlanks" dxfId="98" priority="6">
      <formula>LEN(TRIM(C96))&gt;0</formula>
    </cfRule>
  </conditionalFormatting>
  <conditionalFormatting sqref="F21:F26">
    <cfRule type="cellIs" dxfId="97" priority="2" operator="notEqual">
      <formula>""</formula>
    </cfRule>
  </conditionalFormatting>
  <conditionalFormatting sqref="F79">
    <cfRule type="cellIs" dxfId="96" priority="7" operator="notEqual">
      <formula>""</formula>
    </cfRule>
  </conditionalFormatting>
  <conditionalFormatting sqref="F8:H14 H27">
    <cfRule type="cellIs" dxfId="95" priority="11" operator="notEqual">
      <formula>""</formula>
    </cfRule>
  </conditionalFormatting>
  <conditionalFormatting sqref="F18:H18">
    <cfRule type="cellIs" dxfId="94" priority="12" operator="notEqual">
      <formula>""</formula>
    </cfRule>
  </conditionalFormatting>
  <conditionalFormatting sqref="F32:H33 F40:H45 F48:H53 F56:H60 F63:H71 C82:D82 F82:G82 I82">
    <cfRule type="cellIs" dxfId="93" priority="8" operator="notEqual">
      <formula>""</formula>
    </cfRule>
  </conditionalFormatting>
  <conditionalFormatting sqref="F75:H75">
    <cfRule type="cellIs" dxfId="92" priority="1" operator="notEqual">
      <formula>""</formula>
    </cfRule>
  </conditionalFormatting>
  <conditionalFormatting sqref="F96:H96">
    <cfRule type="cellIs" dxfId="91" priority="5" operator="notEqual">
      <formula>""</formula>
    </cfRule>
  </conditionalFormatting>
  <conditionalFormatting sqref="I21:I26">
    <cfRule type="cellIs" dxfId="90" priority="10" operator="notEqual">
      <formula>""</formula>
    </cfRule>
  </conditionalFormatting>
  <conditionalFormatting sqref="I38:I39">
    <cfRule type="top10" dxfId="89" priority="9" percent="1" rank="10"/>
  </conditionalFormatting>
  <dataValidations count="21">
    <dataValidation type="date" allowBlank="1" showInputMessage="1" showErrorMessage="1" error="Date must be between April 1st, 2022 and December 31, 2025" prompt="(yyyy-mm-dd)" sqref="F11" xr:uid="{D8186A7B-C13A-4AF4-BF7C-51648DC03496}">
      <formula1>44652</formula1>
      <formula2>46022</formula2>
    </dataValidation>
    <dataValidation type="list" allowBlank="1" showInputMessage="1" showErrorMessage="1" error="Please select from drop-down list" sqref="F12" xr:uid="{7871B5E3-3293-467F-9701-4D4C95AA90AD}">
      <formula1>SSMs</formula1>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8" xr:uid="{F5A5350F-4912-4BD8-A323-A27D6A2CCE84}">
      <formula1>0</formula1>
      <formula2>365</formula2>
    </dataValidation>
    <dataValidation type="date" allowBlank="1" showInputMessage="1" showErrorMessage="1" error="Date must between April 1st, 2022 and December 31, 2025" prompt="(yyyy-mm-dd)" sqref="G11:G12" xr:uid="{3D74647D-C946-48DB-A62A-0A4CBEA76015}">
      <formula1>44652</formula1>
      <formula2>46022</formula2>
    </dataValidation>
    <dataValidation type="whole" allowBlank="1" showInputMessage="1" showErrorMessage="1" error="Must be greater than zero and less than  365" sqref="G18:H18" xr:uid="{A7D57638-84E8-4F74-87EA-AB82F884EC61}">
      <formula1>0</formula1>
      <formula2>365</formula2>
    </dataValidation>
    <dataValidation allowBlank="1" showInputMessage="1" showErrorMessage="1" prompt="For example, 10 infant licensed spaces for 200 service days and 5 infant licensed spaces for 100 service days would be (10X20)+(5X100) = 2,500 infant licensed space-days" sqref="I20" xr:uid="{B32CB9F8-4F21-406A-884A-0F0BF646713A}"/>
    <dataValidation allowBlank="1" showInputMessage="1" showErrorMessage="1" prompt="For example, 10 infant operating spaces for 200 service days and 5 infant operating spaces for 100 service days would be (10X20)+(5X100) = 2,500 infant operating space-days" sqref="F20" xr:uid="{18A77DC9-BC42-45AC-8264-D8498B039409}"/>
    <dataValidation type="whole" operator="greaterThanOrEqual" allowBlank="1" showInputMessage="1" showErrorMessage="1" error="Must be a number greater than or equal to 0" sqref="I21:I26 F21:F26" xr:uid="{93B18310-4B8A-4D12-9FD9-6492A50AE5D2}">
      <formula1>0</formula1>
    </dataValidation>
    <dataValidation type="whole" operator="greaterThanOrEqual" allowBlank="1" showInputMessage="1" showErrorMessage="1" error="Must be whole number, equal or larger than 0" sqref="F27 H27:I27" xr:uid="{345FCBCC-C6F7-4DFA-B844-368B959E38CC}">
      <formula1>0</formula1>
    </dataValidation>
    <dataValidation type="decimal" allowBlank="1" showInputMessage="1" showErrorMessage="1" error="Must be a number between 0 and the sum of all eligible costs incurred for the eligible centre, AFTER one-time, unexpected costs" prompt="A “child with special needs” means a child whose cognitive, physical, social, emotional or communicative needs, or whose needs relating to overall development, are of such a nature that additional supports are required for the child." sqref="F79" xr:uid="{500CCC47-78BB-478D-9FBF-3338A8097CDF}">
      <formula1>0</formula1>
      <formula2>F77</formula2>
    </dataValidation>
    <dataValidation type="custom" allowBlank="1" showInputMessage="1" showErrorMessage="1" error="Please enter valid email address" sqref="I82" xr:uid="{D905C599-7002-4AC5-9DCB-070531E647C5}">
      <formula1>AND(ISNUMBER(FIND("@",I82)), ISNUMBER(FIND(".",I82)), FIND(".",I82) &gt; FIND("@",I82))</formula1>
    </dataValidation>
    <dataValidation type="decimal" operator="greaterThanOrEqual" allowBlank="1" showInputMessage="1" showErrorMessage="1" error="Must be an amount greater than or equal to 0." sqref="F33" xr:uid="{339AF936-0DB2-4E02-AA18-DC685922A9E7}">
      <formula1>0</formula1>
    </dataValidation>
    <dataValidation type="decimal" operator="greaterThan" allowBlank="1" showInputMessage="1" showErrorMessage="1" error="Must be an amount greater than 0." sqref="F32" xr:uid="{90A601E6-7FEC-42AC-8B05-040B43CB5F4B}">
      <formula1>0</formula1>
    </dataValidation>
    <dataValidation type="textLength" operator="lessThanOrEqual" allowBlank="1" showInputMessage="1" showErrorMessage="1" error="Must be 50 letters or less" sqref="C82 C88" xr:uid="{0FE46A18-52DE-4499-AC2F-EBDCFA72777C}">
      <formula1>50</formula1>
    </dataValidation>
    <dataValidation type="decimal" operator="greaterThan" allowBlank="1" showInputMessage="1" showErrorMessage="1" error="Must be an amount greater than or equal to zero." sqref="F48:F53 F63:F71 F40:F45 F56:F60" xr:uid="{706A696B-CD05-4B69-A84A-BDEBD9275A3D}">
      <formula1>0</formula1>
    </dataValidation>
    <dataValidation type="textLength" operator="equal" allowBlank="1" showInputMessage="1" showErrorMessage="1" error="Please enter 10 digit phone number" prompt="Please enter 10 digit phone number" sqref="F82" xr:uid="{2F2E32F4-0829-441D-AC68-1EC75DF921D1}">
      <formula1>10</formula1>
    </dataValidation>
    <dataValidation type="decimal" operator="greaterThanOrEqual" allowBlank="1" showInputMessage="1" showErrorMessage="1" sqref="G40:H44" xr:uid="{53E1CFCD-BC04-4E3C-8DBA-655E1A778C96}">
      <formula1>0</formula1>
    </dataValidation>
    <dataValidation allowBlank="1" showInputMessage="1" showErrorMessage="1" prompt="Please enter phone number as (###) ### - ###" sqref="G82" xr:uid="{38C51A42-C4A4-41B5-8D62-60FB7F1A0554}"/>
    <dataValidation type="whole" operator="greaterThanOrEqual" allowBlank="1" showInputMessage="1" showErrorMessage="1" sqref="G48:H52 G63:H71 G33:H33 F75:H75" xr:uid="{FE937D05-C911-4B0C-BD4F-DE51E5F55864}">
      <formula1>0</formula1>
    </dataValidation>
    <dataValidation type="whole" operator="greaterThan" allowBlank="1" showInputMessage="1" showErrorMessage="1" sqref="G32:H32" xr:uid="{1345FF58-ABAF-4A7C-B44F-B9A5360E3403}">
      <formula1>0</formula1>
    </dataValidation>
    <dataValidation type="date" operator="greaterThanOrEqual" allowBlank="1" showInputMessage="1" showErrorMessage="1" error="Must be a date not earlier than today's date" sqref="F96" xr:uid="{B8D8DDE2-BD79-4442-9249-0728E9F74147}">
      <formula1>TODAY()</formula1>
    </dataValidation>
  </dataValidations>
  <hyperlinks>
    <hyperlink ref="I82" r:id="rId1" display="navdip_atwal@hotmail.com" xr:uid="{E1239F96-86B5-4D16-9D9F-15F2A7064268}"/>
  </hyperlinks>
  <pageMargins left="0.7" right="0.7" top="0.75" bottom="0.75" header="0.3" footer="0.3"/>
  <pageSetup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28561-12D0-43D6-A145-5B613300DD4F}">
  <sheetPr>
    <tabColor rgb="FFFFC000"/>
  </sheetPr>
  <dimension ref="A1:M114"/>
  <sheetViews>
    <sheetView showGridLines="0" workbookViewId="0">
      <selection activeCell="E20" sqref="E20"/>
    </sheetView>
  </sheetViews>
  <sheetFormatPr defaultColWidth="0" defaultRowHeight="15" zeroHeight="1"/>
  <cols>
    <col min="1" max="1" width="3.1796875" style="1" customWidth="1"/>
    <col min="2" max="2" width="8.453125" style="1" customWidth="1"/>
    <col min="3" max="3" width="106.54296875" style="1" customWidth="1"/>
    <col min="4" max="4" width="8.453125" style="198" bestFit="1" customWidth="1"/>
    <col min="5" max="5" width="32" style="183" customWidth="1"/>
    <col min="6" max="6" width="27.453125" style="184" customWidth="1"/>
    <col min="7" max="7" width="43.1796875" style="1" hidden="1" customWidth="1"/>
    <col min="8" max="8" width="21.7265625" style="205" hidden="1" customWidth="1"/>
    <col min="9" max="9" width="7.1796875" style="1" hidden="1" customWidth="1"/>
    <col min="10" max="16384" width="9.1796875" style="1" hidden="1"/>
  </cols>
  <sheetData>
    <row r="1" spans="1:13" ht="26">
      <c r="A1" s="1211" t="s">
        <v>734</v>
      </c>
      <c r="B1" s="1210"/>
      <c r="C1" s="1210"/>
      <c r="D1" s="1210"/>
      <c r="E1" s="1210"/>
      <c r="F1" s="1210"/>
      <c r="G1" s="1210"/>
      <c r="H1" s="1210"/>
      <c r="I1" s="1210"/>
    </row>
    <row r="2" spans="1:13"/>
    <row r="3" spans="1:13" s="180" customFormat="1" ht="34.5" customHeight="1">
      <c r="A3" s="122" t="s">
        <v>487</v>
      </c>
      <c r="B3" s="123"/>
      <c r="C3" s="124"/>
      <c r="D3" s="179"/>
      <c r="E3" s="125"/>
      <c r="F3" s="126"/>
    </row>
    <row r="4" spans="1:13" ht="20">
      <c r="A4" s="181"/>
      <c r="B4" s="127"/>
      <c r="C4" s="127"/>
      <c r="D4" s="182"/>
      <c r="H4" s="1"/>
    </row>
    <row r="5" spans="1:13">
      <c r="A5" s="127"/>
      <c r="B5" s="127"/>
      <c r="C5" s="127"/>
      <c r="D5" s="182"/>
      <c r="H5" s="185"/>
    </row>
    <row r="6" spans="1:13" ht="17.5">
      <c r="B6" s="132" t="s">
        <v>488</v>
      </c>
      <c r="C6" s="133"/>
      <c r="D6" s="133"/>
      <c r="E6" s="133"/>
      <c r="F6" s="186"/>
      <c r="G6" s="186"/>
      <c r="H6" s="186"/>
      <c r="J6"/>
      <c r="K6" s="185"/>
      <c r="M6"/>
    </row>
    <row r="7" spans="1:13" ht="15.5">
      <c r="B7" s="187" t="s">
        <v>609</v>
      </c>
      <c r="C7" s="133"/>
      <c r="D7" s="133"/>
      <c r="E7" s="133"/>
      <c r="F7" s="186"/>
      <c r="G7" s="186"/>
      <c r="H7" s="186"/>
      <c r="J7"/>
      <c r="K7" s="185"/>
      <c r="L7" s="127"/>
      <c r="M7"/>
    </row>
    <row r="8" spans="1:13" s="134" customFormat="1">
      <c r="B8" s="135" t="s">
        <v>610</v>
      </c>
      <c r="C8" s="136"/>
      <c r="D8" s="136"/>
      <c r="E8" s="188" t="s">
        <v>726</v>
      </c>
      <c r="G8" s="189"/>
      <c r="H8" s="189"/>
      <c r="I8" s="1"/>
      <c r="L8" s="190"/>
    </row>
    <row r="9" spans="1:13" s="134" customFormat="1">
      <c r="B9" s="135" t="s">
        <v>301</v>
      </c>
      <c r="C9" s="136"/>
      <c r="D9" s="191" t="s">
        <v>491</v>
      </c>
      <c r="E9" s="882">
        <f>'A6b. Operations-Site 2'!F7</f>
        <v>0</v>
      </c>
      <c r="G9" s="193"/>
      <c r="H9" s="193"/>
      <c r="I9" s="1"/>
      <c r="K9" s="194"/>
      <c r="L9" s="190"/>
    </row>
    <row r="10" spans="1:13" s="134" customFormat="1">
      <c r="B10" s="135" t="s">
        <v>492</v>
      </c>
      <c r="D10" s="191" t="s">
        <v>493</v>
      </c>
      <c r="E10" s="192">
        <f>'A11.SFR&amp; Attestation Site 2'!F9</f>
        <v>0</v>
      </c>
      <c r="G10" s="193"/>
      <c r="H10" s="193"/>
      <c r="K10" s="194"/>
    </row>
    <row r="11" spans="1:13" s="134" customFormat="1">
      <c r="B11" s="135" t="s">
        <v>611</v>
      </c>
      <c r="C11" s="136"/>
      <c r="D11" s="191" t="s">
        <v>502</v>
      </c>
      <c r="E11" s="192">
        <v>2025</v>
      </c>
      <c r="G11" s="195"/>
      <c r="H11" s="195"/>
      <c r="I11" s="1"/>
      <c r="L11" s="190"/>
    </row>
    <row r="12" spans="1:13" ht="7.5" customHeight="1">
      <c r="C12" s="148"/>
      <c r="D12" s="182"/>
      <c r="E12" s="196"/>
      <c r="H12" s="185"/>
    </row>
    <row r="13" spans="1:13">
      <c r="A13" s="127"/>
      <c r="B13" s="197" t="s">
        <v>612</v>
      </c>
      <c r="H13" s="185"/>
    </row>
    <row r="14" spans="1:13">
      <c r="A14" s="127"/>
      <c r="B14" s="187" t="s">
        <v>613</v>
      </c>
      <c r="H14" s="185"/>
    </row>
    <row r="15" spans="1:13" ht="30">
      <c r="B15" s="199"/>
      <c r="C15" s="200" t="s">
        <v>614</v>
      </c>
      <c r="D15" s="201" t="s">
        <v>615</v>
      </c>
      <c r="E15" s="974">
        <f>'A2.Allocation &amp; Operating Plan'!F24</f>
        <v>0</v>
      </c>
      <c r="F15" s="988"/>
      <c r="H15" s="185"/>
    </row>
    <row r="16" spans="1:13">
      <c r="B16" s="203"/>
      <c r="C16" s="194" t="s">
        <v>616</v>
      </c>
      <c r="D16" s="201" t="s">
        <v>617</v>
      </c>
      <c r="E16" s="974">
        <f>'A3. Peel Region Grants'!E70+'A3. Peel Region Grants'!E111</f>
        <v>0</v>
      </c>
      <c r="F16" s="989"/>
      <c r="H16" s="185"/>
    </row>
    <row r="17" spans="1:9" ht="7.5" customHeight="1">
      <c r="C17" s="148"/>
      <c r="D17" s="182"/>
      <c r="E17" s="196"/>
      <c r="F17" s="528"/>
      <c r="H17" s="185"/>
    </row>
    <row r="18" spans="1:9">
      <c r="A18" s="127"/>
      <c r="B18" s="187" t="s">
        <v>618</v>
      </c>
      <c r="F18" s="528"/>
      <c r="H18" s="185"/>
    </row>
    <row r="19" spans="1:9">
      <c r="A19" s="127"/>
      <c r="B19" s="187" t="s">
        <v>619</v>
      </c>
      <c r="F19" s="528"/>
      <c r="H19" s="185"/>
    </row>
    <row r="20" spans="1:9">
      <c r="A20" s="127"/>
      <c r="B20" s="203"/>
      <c r="C20" s="135" t="s">
        <v>620</v>
      </c>
      <c r="D20" s="163" t="s">
        <v>621</v>
      </c>
      <c r="E20" s="975">
        <f>'A2.Allocation &amp; Operating Plan'!F13+'A2.Allocation &amp; Operating Plan'!F14+'A2.Allocation &amp; Operating Plan'!F15+'A2.Allocation &amp; Operating Plan'!F16+'A2.Allocation &amp; Operating Plan'!F17</f>
        <v>0</v>
      </c>
      <c r="F20" s="990"/>
    </row>
    <row r="21" spans="1:9">
      <c r="A21" s="127"/>
      <c r="B21" s="151"/>
      <c r="C21" s="206" t="s">
        <v>622</v>
      </c>
      <c r="D21" s="163" t="s">
        <v>623</v>
      </c>
      <c r="E21" s="975">
        <f>'A2.Allocation &amp; Operating Plan'!F18</f>
        <v>0</v>
      </c>
      <c r="F21" s="990"/>
      <c r="G21" s="207"/>
      <c r="H21" s="207"/>
      <c r="I21" s="207"/>
    </row>
    <row r="22" spans="1:9">
      <c r="A22" s="127"/>
      <c r="B22" s="151"/>
      <c r="C22" s="206" t="s">
        <v>624</v>
      </c>
      <c r="D22" s="163" t="s">
        <v>625</v>
      </c>
      <c r="E22" s="975">
        <f>'A2.Allocation &amp; Operating Plan'!F19</f>
        <v>0</v>
      </c>
      <c r="F22" s="990"/>
      <c r="G22" s="207"/>
      <c r="H22" s="207"/>
      <c r="I22" s="207"/>
    </row>
    <row r="23" spans="1:9">
      <c r="A23" s="127"/>
      <c r="B23" s="151"/>
      <c r="C23" s="208" t="s">
        <v>626</v>
      </c>
      <c r="D23" s="209"/>
      <c r="E23" s="210">
        <f>SUM(E20:E22)</f>
        <v>0</v>
      </c>
      <c r="F23" s="990"/>
      <c r="H23" s="1"/>
    </row>
    <row r="24" spans="1:9">
      <c r="B24" s="151"/>
      <c r="C24" s="206" t="s">
        <v>627</v>
      </c>
      <c r="D24" s="163" t="s">
        <v>628</v>
      </c>
      <c r="E24" s="975">
        <f>'A2.Allocation &amp; Operating Plan'!F23</f>
        <v>0</v>
      </c>
      <c r="F24" s="990"/>
      <c r="H24" s="185"/>
    </row>
    <row r="25" spans="1:9">
      <c r="B25" s="151"/>
      <c r="C25" s="206" t="s">
        <v>629</v>
      </c>
      <c r="D25" s="163" t="s">
        <v>630</v>
      </c>
      <c r="E25" s="975">
        <f>'A2.Allocation &amp; Operating Plan'!F21</f>
        <v>0</v>
      </c>
      <c r="F25" s="995"/>
      <c r="H25" s="185"/>
    </row>
    <row r="26" spans="1:9">
      <c r="A26" s="127"/>
      <c r="B26" s="151"/>
      <c r="C26" s="208" t="s">
        <v>631</v>
      </c>
      <c r="D26" s="209"/>
      <c r="E26" s="210">
        <f>SUM(E23:E25)</f>
        <v>0</v>
      </c>
      <c r="F26" s="996"/>
      <c r="H26" s="185"/>
    </row>
    <row r="27" spans="1:9">
      <c r="A27" s="148"/>
      <c r="B27" s="151"/>
      <c r="C27" s="213" t="s">
        <v>632</v>
      </c>
      <c r="D27" s="163" t="s">
        <v>633</v>
      </c>
      <c r="E27" s="975">
        <f>E16</f>
        <v>0</v>
      </c>
      <c r="F27" s="990"/>
      <c r="H27" s="185"/>
    </row>
    <row r="28" spans="1:9" ht="7.5" customHeight="1">
      <c r="C28" s="148"/>
      <c r="D28" s="182"/>
      <c r="E28" s="196"/>
      <c r="F28" s="528"/>
      <c r="H28" s="185"/>
    </row>
    <row r="29" spans="1:9">
      <c r="B29" s="214" t="s">
        <v>634</v>
      </c>
      <c r="E29" s="196"/>
      <c r="F29" s="997"/>
      <c r="H29" s="185"/>
    </row>
    <row r="30" spans="1:9">
      <c r="B30" s="187" t="s">
        <v>635</v>
      </c>
      <c r="E30" s="2"/>
      <c r="F30" s="528"/>
      <c r="G30" s="216"/>
      <c r="H30" s="216"/>
    </row>
    <row r="31" spans="1:9">
      <c r="B31" s="157"/>
      <c r="C31" s="217" t="s">
        <v>636</v>
      </c>
      <c r="D31" s="218"/>
      <c r="E31" s="219">
        <f>'A11.SFR&amp; Attestation Site 2'!F73</f>
        <v>0</v>
      </c>
      <c r="F31" s="751"/>
      <c r="G31" s="216"/>
      <c r="H31" s="216"/>
    </row>
    <row r="32" spans="1:9" ht="19" customHeight="1">
      <c r="B32" s="157"/>
      <c r="C32" s="220" t="s">
        <v>637</v>
      </c>
      <c r="D32" s="221"/>
      <c r="E32" s="222">
        <f>ProgramCostsAllocation</f>
        <v>0</v>
      </c>
      <c r="F32" s="204"/>
      <c r="G32" s="216"/>
      <c r="H32" s="216"/>
    </row>
    <row r="33" spans="1:8">
      <c r="B33" s="203"/>
      <c r="C33" s="223" t="s">
        <v>638</v>
      </c>
      <c r="D33" s="163" t="s">
        <v>639</v>
      </c>
      <c r="E33" s="224">
        <f>MIN(E31,E32)</f>
        <v>0</v>
      </c>
      <c r="F33" s="204"/>
      <c r="G33" s="216"/>
      <c r="H33" s="216"/>
    </row>
    <row r="34" spans="1:8" ht="7.5" customHeight="1">
      <c r="C34" s="148"/>
      <c r="D34" s="182"/>
      <c r="E34" s="196"/>
      <c r="H34" s="185"/>
    </row>
    <row r="35" spans="1:8">
      <c r="B35" s="214" t="s">
        <v>640</v>
      </c>
      <c r="C35" s="148"/>
      <c r="D35" s="182"/>
      <c r="E35" s="196"/>
      <c r="G35" s="216"/>
      <c r="H35" s="216"/>
    </row>
    <row r="36" spans="1:8">
      <c r="B36" s="187" t="s">
        <v>641</v>
      </c>
      <c r="E36" s="196"/>
      <c r="G36" s="216"/>
      <c r="H36" s="216"/>
    </row>
    <row r="37" spans="1:8" s="134" customFormat="1">
      <c r="C37" s="220" t="s">
        <v>642</v>
      </c>
      <c r="D37" s="221"/>
      <c r="E37" s="225">
        <f>4.25%*ActualProgramCosts</f>
        <v>0</v>
      </c>
      <c r="F37" s="212"/>
      <c r="G37" s="226"/>
      <c r="H37" s="226"/>
    </row>
    <row r="38" spans="1:8" s="134" customFormat="1" ht="30">
      <c r="C38" s="220" t="s">
        <v>643</v>
      </c>
      <c r="D38" s="221"/>
      <c r="E38" s="225">
        <f>3.5%*MIN(ActualProgramCosts,BenchmarkAllocation)</f>
        <v>0</v>
      </c>
      <c r="F38" s="204"/>
      <c r="G38" s="226"/>
      <c r="H38" s="226"/>
    </row>
    <row r="39" spans="1:8" s="134" customFormat="1" ht="30">
      <c r="C39" s="220" t="s">
        <v>644</v>
      </c>
      <c r="D39" s="221"/>
      <c r="E39" s="227">
        <f>'A6b. Operations-Site 2'!D192</f>
        <v>0</v>
      </c>
      <c r="F39" s="228"/>
      <c r="G39" s="229"/>
      <c r="H39" s="229"/>
    </row>
    <row r="40" spans="1:8">
      <c r="B40" s="230"/>
      <c r="C40" s="231" t="s">
        <v>645</v>
      </c>
      <c r="D40" s="163" t="s">
        <v>646</v>
      </c>
      <c r="E40" s="232">
        <f>ROUND(SUM(E37:E39),0)</f>
        <v>0</v>
      </c>
      <c r="F40" s="204"/>
      <c r="G40" s="233"/>
      <c r="H40" s="233"/>
    </row>
    <row r="41" spans="1:8" ht="7.5" customHeight="1">
      <c r="C41" s="148"/>
      <c r="D41" s="182"/>
      <c r="E41" s="196"/>
      <c r="H41" s="185"/>
    </row>
    <row r="42" spans="1:8">
      <c r="B42" s="214" t="s">
        <v>647</v>
      </c>
      <c r="C42" s="148"/>
      <c r="D42" s="182"/>
      <c r="E42" s="196"/>
      <c r="H42" s="185"/>
    </row>
    <row r="43" spans="1:8">
      <c r="B43" s="187" t="s">
        <v>648</v>
      </c>
      <c r="E43" s="2"/>
      <c r="H43" s="185"/>
    </row>
    <row r="44" spans="1:8">
      <c r="B44" s="234"/>
      <c r="C44" s="1" t="s">
        <v>649</v>
      </c>
      <c r="E44" s="235">
        <f>'A11.SFR&amp; Attestation Site 2'!F32</f>
        <v>0</v>
      </c>
      <c r="F44" s="204"/>
      <c r="H44" s="185"/>
    </row>
    <row r="45" spans="1:8">
      <c r="B45" s="234"/>
      <c r="C45" s="1" t="s">
        <v>650</v>
      </c>
      <c r="E45" s="235">
        <f>'A11.SFR&amp; Attestation Site 2'!F33</f>
        <v>0</v>
      </c>
      <c r="F45" s="204"/>
      <c r="H45" s="185"/>
    </row>
    <row r="46" spans="1:8">
      <c r="B46" s="234"/>
      <c r="C46" s="1" t="s">
        <v>651</v>
      </c>
      <c r="E46" s="235">
        <f>-E25</f>
        <v>0</v>
      </c>
      <c r="F46" s="236"/>
      <c r="H46" s="185"/>
    </row>
    <row r="47" spans="1:8">
      <c r="A47" s="148"/>
      <c r="B47" s="203"/>
      <c r="C47" s="231" t="s">
        <v>652</v>
      </c>
      <c r="D47" s="163" t="s">
        <v>653</v>
      </c>
      <c r="E47" s="232">
        <f>MAX(E46,E44+E45)</f>
        <v>0</v>
      </c>
      <c r="F47" s="204"/>
      <c r="H47" s="185"/>
    </row>
    <row r="48" spans="1:8" ht="7.5" customHeight="1">
      <c r="C48" s="148"/>
      <c r="D48" s="182"/>
      <c r="E48" s="196"/>
      <c r="H48" s="185"/>
    </row>
    <row r="49" spans="1:8">
      <c r="A49" s="148"/>
      <c r="B49" s="214" t="s">
        <v>654</v>
      </c>
      <c r="C49" s="148"/>
      <c r="D49" s="182"/>
      <c r="E49" s="237"/>
      <c r="H49" s="185"/>
    </row>
    <row r="50" spans="1:8">
      <c r="A50" s="148"/>
      <c r="B50" s="187" t="s">
        <v>655</v>
      </c>
      <c r="C50" s="148"/>
      <c r="D50" s="182"/>
      <c r="E50" s="237"/>
      <c r="H50" s="185"/>
    </row>
    <row r="51" spans="1:8">
      <c r="A51" s="148"/>
      <c r="B51" s="214"/>
      <c r="C51" s="1" t="s">
        <v>533</v>
      </c>
      <c r="E51" s="222">
        <f>+E33</f>
        <v>0</v>
      </c>
      <c r="F51" s="204"/>
      <c r="H51" s="185"/>
    </row>
    <row r="52" spans="1:8">
      <c r="A52" s="148"/>
      <c r="B52" s="214"/>
      <c r="C52" s="1" t="s">
        <v>656</v>
      </c>
      <c r="E52" s="222">
        <f>+E40</f>
        <v>0</v>
      </c>
      <c r="F52" s="204"/>
      <c r="H52" s="185"/>
    </row>
    <row r="53" spans="1:8">
      <c r="A53" s="148"/>
      <c r="B53" s="214"/>
      <c r="C53" s="1" t="s">
        <v>657</v>
      </c>
      <c r="E53" s="235">
        <f>-E47</f>
        <v>0</v>
      </c>
      <c r="F53" s="236"/>
      <c r="H53" s="185"/>
    </row>
    <row r="54" spans="1:8">
      <c r="B54" s="203"/>
      <c r="C54" s="231" t="s">
        <v>658</v>
      </c>
      <c r="D54" s="163" t="s">
        <v>659</v>
      </c>
      <c r="E54" s="232">
        <f>SUM(E51:E53)</f>
        <v>0</v>
      </c>
      <c r="F54" s="204"/>
      <c r="H54" s="185"/>
    </row>
    <row r="55" spans="1:8" ht="7.5" customHeight="1">
      <c r="C55" s="148"/>
      <c r="D55" s="182"/>
      <c r="E55" s="196"/>
      <c r="H55" s="185"/>
    </row>
    <row r="56" spans="1:8">
      <c r="A56" s="148"/>
      <c r="B56" s="238" t="s">
        <v>660</v>
      </c>
      <c r="C56" s="239"/>
      <c r="D56" s="240"/>
      <c r="E56" s="202"/>
      <c r="H56" s="185"/>
    </row>
    <row r="57" spans="1:8">
      <c r="A57" s="148"/>
      <c r="B57" s="187" t="s">
        <v>661</v>
      </c>
      <c r="C57" s="239"/>
      <c r="D57" s="240"/>
      <c r="E57" s="241"/>
      <c r="H57" s="185"/>
    </row>
    <row r="58" spans="1:8">
      <c r="C58" s="242" t="s">
        <v>662</v>
      </c>
      <c r="E58" s="222">
        <f>+E15</f>
        <v>0</v>
      </c>
      <c r="F58" s="204"/>
      <c r="H58" s="185"/>
    </row>
    <row r="59" spans="1:8">
      <c r="B59" s="203"/>
      <c r="C59" s="242" t="s">
        <v>663</v>
      </c>
      <c r="E59" s="222">
        <f>+E54</f>
        <v>0</v>
      </c>
      <c r="F59" s="204"/>
      <c r="H59" s="185"/>
    </row>
    <row r="60" spans="1:8">
      <c r="B60" s="203"/>
      <c r="C60" s="231" t="str" cm="1">
        <f t="array" ref="C60">+_xlfn.IFS(E60=0,"= No amount due", E60&lt;0,"= Payable to the licensee in respect Actual Cost-Based Funding", 1,"= Overpayment. Amount payable to the CMSM/DSSAB in respect of Actual Cost-Based Funding")</f>
        <v>= No amount due</v>
      </c>
      <c r="D60" s="163" t="s">
        <v>664</v>
      </c>
      <c r="E60" s="232">
        <f>ROUND(E58-E59,2)</f>
        <v>0</v>
      </c>
      <c r="F60" s="204"/>
      <c r="G60" s="202"/>
      <c r="H60" s="185"/>
    </row>
    <row r="61" spans="1:8" ht="12.75" customHeight="1">
      <c r="C61" s="148"/>
      <c r="D61" s="182"/>
      <c r="E61" s="196"/>
      <c r="H61" s="185"/>
    </row>
    <row r="62" spans="1:8" ht="15.75" customHeight="1">
      <c r="A62" s="148"/>
      <c r="B62" s="187" t="s">
        <v>665</v>
      </c>
      <c r="C62" s="239"/>
      <c r="D62" s="240"/>
      <c r="E62" s="241"/>
      <c r="F62" s="1212" t="str">
        <f>IF('A3. Peel Region Grants'!I76&gt;0,"Deferred revenue and amount spent being added as spent until recon completed."," ")</f>
        <v xml:space="preserve"> </v>
      </c>
      <c r="H62" s="185"/>
    </row>
    <row r="63" spans="1:8" ht="15.75" customHeight="1">
      <c r="B63" s="243"/>
      <c r="C63" s="185" t="s">
        <v>666</v>
      </c>
      <c r="D63" s="244"/>
      <c r="E63" s="222">
        <f>'A11.SFR&amp; Attestation Site 2'!F75</f>
        <v>0</v>
      </c>
      <c r="F63" s="1212"/>
      <c r="H63" s="156"/>
    </row>
    <row r="64" spans="1:8">
      <c r="A64" s="148"/>
      <c r="B64" s="245"/>
      <c r="C64" s="185" t="s">
        <v>667</v>
      </c>
      <c r="D64" s="244"/>
      <c r="E64" s="222">
        <f>+E27</f>
        <v>0</v>
      </c>
      <c r="F64" s="1212"/>
      <c r="H64" s="246"/>
    </row>
    <row r="65" spans="1:8">
      <c r="B65" s="160"/>
      <c r="C65" s="247" t="s">
        <v>668</v>
      </c>
      <c r="D65" s="163" t="s">
        <v>669</v>
      </c>
      <c r="E65" s="248">
        <f>MIN(E64,E63)</f>
        <v>0</v>
      </c>
      <c r="F65" s="1212"/>
      <c r="H65" s="156"/>
    </row>
    <row r="66" spans="1:8">
      <c r="B66" s="249"/>
      <c r="C66" s="194" t="s">
        <v>670</v>
      </c>
      <c r="D66" s="244"/>
      <c r="E66" s="222">
        <f>+E16</f>
        <v>0</v>
      </c>
      <c r="F66" s="1212"/>
      <c r="H66" s="246"/>
    </row>
    <row r="67" spans="1:8">
      <c r="B67" s="251"/>
      <c r="C67" s="252" t="str" cm="1">
        <f t="array" ref="C67">+_xlfn.IFS(E67=0,"= No amount due",E67&lt;0,"= Payable to the licensee in respect Actual Cost-Based Funding",1, "= Overpayment. Amount payable to the CMSM/DSSAB in respect of one-time, unexpected cost")</f>
        <v>= No amount due</v>
      </c>
      <c r="D67" s="163" t="s">
        <v>671</v>
      </c>
      <c r="E67" s="232">
        <f>+E66-E65</f>
        <v>0</v>
      </c>
      <c r="F67" s="250"/>
      <c r="G67" s="202"/>
      <c r="H67" s="210"/>
    </row>
    <row r="68" spans="1:8">
      <c r="B68" s="251"/>
      <c r="D68" s="527"/>
      <c r="E68" s="1"/>
      <c r="F68" s="250"/>
      <c r="G68" s="202"/>
      <c r="H68" s="210"/>
    </row>
    <row r="69" spans="1:8" ht="16.5" customHeight="1">
      <c r="C69" s="148"/>
      <c r="D69" s="182"/>
      <c r="E69" s="196"/>
      <c r="H69" s="185"/>
    </row>
    <row r="70" spans="1:8">
      <c r="A70" s="148"/>
      <c r="B70" s="187" t="s">
        <v>672</v>
      </c>
      <c r="C70" s="239"/>
      <c r="D70" s="240"/>
      <c r="E70" s="241"/>
      <c r="H70" s="185"/>
    </row>
    <row r="71" spans="1:8" ht="20">
      <c r="C71" s="253" t="str" cm="1">
        <f t="array" ref="C71">+_xlfn.IFS(E60=0,"= No amount due",E60&lt;0,"= Payable to the licensee",1,"= Overpayment payable to the CMSM/DSSAB")</f>
        <v>= No amount due</v>
      </c>
      <c r="D71" s="254"/>
      <c r="E71" s="255">
        <f>ROUND(IF(SUM(E15:E16,E20:E22,E24:E25,E27)=0,0,E60+E67),2)</f>
        <v>0</v>
      </c>
      <c r="F71" s="256"/>
    </row>
    <row r="72" spans="1:8" ht="18" customHeight="1">
      <c r="C72" s="148"/>
      <c r="D72" s="182"/>
      <c r="E72" s="196"/>
      <c r="H72" s="185"/>
    </row>
    <row r="73" spans="1:8">
      <c r="A73" s="148"/>
      <c r="B73" s="238" t="s">
        <v>673</v>
      </c>
      <c r="C73" s="257"/>
      <c r="D73" s="258"/>
      <c r="E73" s="259"/>
      <c r="G73" s="217"/>
      <c r="H73" s="185"/>
    </row>
    <row r="74" spans="1:8">
      <c r="A74" s="148"/>
      <c r="B74" s="187" t="s">
        <v>674</v>
      </c>
      <c r="C74" s="257"/>
      <c r="D74" s="258"/>
      <c r="E74" s="259"/>
      <c r="G74" s="217"/>
      <c r="H74" s="185"/>
    </row>
    <row r="75" spans="1:8">
      <c r="A75" s="148"/>
      <c r="B75" s="238"/>
      <c r="C75" s="242" t="s">
        <v>675</v>
      </c>
      <c r="D75" s="258"/>
      <c r="E75" s="260">
        <f>+ActualProgramCosts</f>
        <v>0</v>
      </c>
      <c r="G75" s="217"/>
      <c r="H75" s="185"/>
    </row>
    <row r="76" spans="1:8">
      <c r="A76" s="148"/>
      <c r="B76" s="238"/>
      <c r="C76" s="242" t="str">
        <f>+C20</f>
        <v>Benchmark Allocation</v>
      </c>
      <c r="D76" s="258"/>
      <c r="E76" s="260">
        <f>+BenchmarkAllocation</f>
        <v>0</v>
      </c>
      <c r="G76" s="217"/>
      <c r="H76" s="185"/>
    </row>
    <row r="77" spans="1:8">
      <c r="A77" s="127" t="s">
        <v>834</v>
      </c>
      <c r="B77" s="261"/>
      <c r="C77" s="262" t="s">
        <v>736</v>
      </c>
      <c r="D77" s="163" t="s">
        <v>676</v>
      </c>
      <c r="E77" s="263" t="e" cm="1">
        <f t="array" ref="E77">_xlfn.IFS(BenchmarkAllocation="","",ActualProgramCosts-BenchmarkAllocation&lt;0,0,1,ROUND((ActualProgramCosts-BenchmarkAllocation)/BenchmarkAllocation,4))</f>
        <v>#DIV/0!</v>
      </c>
      <c r="F77" s="264"/>
      <c r="G77" s="265"/>
      <c r="H77" s="266"/>
    </row>
    <row r="78" spans="1:8" ht="7.5" customHeight="1">
      <c r="C78" s="148"/>
      <c r="D78" s="182"/>
      <c r="E78" s="196"/>
      <c r="H78" s="185"/>
    </row>
    <row r="79" spans="1:8">
      <c r="B79" s="187" t="s">
        <v>677</v>
      </c>
      <c r="D79" s="267" t="s">
        <v>678</v>
      </c>
      <c r="E79" s="268"/>
      <c r="F79" s="528"/>
    </row>
    <row r="80" spans="1:8"/>
    <row r="81"/>
    <row r="82"/>
    <row r="83"/>
    <row r="94"/>
    <row r="95"/>
    <row r="96"/>
    <row r="97"/>
    <row r="98"/>
    <row r="99"/>
    <row r="106"/>
    <row r="107"/>
    <row r="108"/>
    <row r="109"/>
    <row r="110"/>
    <row r="111"/>
    <row r="112"/>
    <row r="113"/>
    <row r="114"/>
  </sheetData>
  <sheetProtection algorithmName="SHA-512" hashValue="FJZzo/Yf5mOdeBhnUQ2k4SZib+/mmQcjzBeUOnIYESX0hw/qPMml+KN14kxf0pBorAPl3o95Akg5WX+kTGjTeQ==" saltValue="cNjn6eSTzv/JrwVeoC53Gw==" spinCount="100000" sheet="1" objects="1" scenarios="1"/>
  <mergeCells count="2">
    <mergeCell ref="A1:I1"/>
    <mergeCell ref="F62:F66"/>
  </mergeCells>
  <conditionalFormatting sqref="E8:E11 G8:H11">
    <cfRule type="cellIs" dxfId="88" priority="3" operator="notEqual">
      <formula>""</formula>
    </cfRule>
  </conditionalFormatting>
  <conditionalFormatting sqref="E15:E16">
    <cfRule type="notContainsBlanks" dxfId="87" priority="1">
      <formula>LEN(TRIM(E15))&gt;0</formula>
    </cfRule>
  </conditionalFormatting>
  <conditionalFormatting sqref="E20:E22 E24:E25 E27">
    <cfRule type="notContainsBlanks" dxfId="86" priority="4">
      <formula>LEN(TRIM(E20))&gt;0</formula>
    </cfRule>
  </conditionalFormatting>
  <conditionalFormatting sqref="E79">
    <cfRule type="cellIs" dxfId="85" priority="2" operator="notEqual">
      <formula>""</formula>
    </cfRule>
  </conditionalFormatting>
  <dataValidations count="4">
    <dataValidation type="decimal" operator="greaterThanOrEqual" allowBlank="1" showInputMessage="1" showErrorMessage="1" error="Must be an amount greater than or equal to 0." sqref="E27 E16" xr:uid="{7EAFF996-E98C-469F-A516-F66F55A08D69}">
      <formula1>0</formula1>
    </dataValidation>
    <dataValidation type="decimal" operator="greaterThan" allowBlank="1" showInputMessage="1" error="Must be an amount greater than 0." sqref="E24 E15 E20:E22" xr:uid="{2D8B7B1F-B9D3-4C5E-A4B8-DBB05FEA691B}">
      <formula1>0</formula1>
    </dataValidation>
    <dataValidation type="decimal" operator="lessThan" allowBlank="1" showInputMessage="1" error="Must be an amount less than 0." sqref="E25" xr:uid="{F6A45CB0-A339-4285-963B-08BBBDAB2AF4}">
      <formula1>0</formula1>
    </dataValidation>
    <dataValidation type="date" operator="greaterThanOrEqual" allowBlank="1" showInputMessage="1" showErrorMessage="1" error="Must be a date not earlier than today's date" sqref="E79" xr:uid="{D680E405-5AB9-448F-9906-E20C40E0972A}">
      <formula1>TODAY()</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ED826-ADDA-4F76-A33C-614CAB34AD9B}">
  <sheetPr>
    <tabColor theme="9" tint="0.59999389629810485"/>
  </sheetPr>
  <dimension ref="B1:XEN200"/>
  <sheetViews>
    <sheetView showGridLines="0" zoomScale="85" zoomScaleNormal="85" workbookViewId="0">
      <selection activeCell="F9" sqref="F9"/>
    </sheetView>
  </sheetViews>
  <sheetFormatPr defaultColWidth="9.1796875" defaultRowHeight="15.5" outlineLevelRow="1"/>
  <cols>
    <col min="1" max="1" width="3.453125" style="9" customWidth="1"/>
    <col min="2" max="2" width="86.7265625" style="9" customWidth="1"/>
    <col min="3" max="3" width="12.08984375" style="9" customWidth="1"/>
    <col min="4" max="4" width="20.7265625" style="9" customWidth="1"/>
    <col min="5" max="5" width="23" style="9" customWidth="1"/>
    <col min="6" max="6" width="23.7265625" style="9" customWidth="1"/>
    <col min="7" max="7" width="6.7265625" style="9" customWidth="1"/>
    <col min="8" max="8" width="74.453125" style="9" customWidth="1"/>
    <col min="9" max="9" width="9.453125" style="9" customWidth="1"/>
    <col min="10" max="10" width="9.1796875" style="9"/>
    <col min="11" max="11" width="17.54296875" style="9" customWidth="1"/>
    <col min="12" max="16384" width="9.1796875" style="9"/>
  </cols>
  <sheetData>
    <row r="1" spans="2:12 16363:16368" ht="21" customHeight="1">
      <c r="B1" s="1180" t="str">
        <f>IF('A1. Identification'!D7=0, "2025 FAIR, CWELCC and OTEF Reconciliation for Multi Site Operators",'A1. Identification'!D7)</f>
        <v>2025 FAIR, CWELCC and OTEF Reconciliation for Multi Site Operators</v>
      </c>
      <c r="C1" s="1181"/>
      <c r="D1" s="1181"/>
      <c r="E1" s="1181"/>
      <c r="F1" s="1181"/>
      <c r="G1" s="443"/>
      <c r="K1" s="109" t="s">
        <v>109</v>
      </c>
      <c r="L1" s="110" t="str">
        <f>IF('A1. Identification'!$D$13=0, " ",'A1. Identification'!$D$13)</f>
        <v xml:space="preserve"> </v>
      </c>
    </row>
    <row r="2" spans="2:12 16363:16368" ht="19" customHeight="1">
      <c r="B2" s="1182" t="str">
        <f>IF('A1. Identification'!B6=0, " ", "Statement of Operations / Income Statement of "&amp; 'A2.Allocation &amp; Operating Plan'!$C$81)</f>
        <v xml:space="preserve">Statement of Operations / Income Statement of  </v>
      </c>
      <c r="C2" s="1091"/>
      <c r="D2" s="1091"/>
      <c r="E2" s="1091"/>
      <c r="F2" s="1091"/>
      <c r="G2" s="444"/>
      <c r="K2" s="109" t="s">
        <v>301</v>
      </c>
      <c r="L2" s="993">
        <f>F7</f>
        <v>0</v>
      </c>
    </row>
    <row r="3" spans="2:12 16363:16368" ht="17.5" customHeight="1" thickBot="1">
      <c r="B3" s="1183" t="s">
        <v>954</v>
      </c>
      <c r="C3" s="1184"/>
      <c r="D3" s="1184"/>
      <c r="E3" s="1184"/>
      <c r="F3" s="1184"/>
      <c r="G3" s="1185"/>
      <c r="H3" s="14"/>
    </row>
    <row r="4" spans="2:12 16363:16368" s="445" customFormat="1" ht="10.5" customHeight="1"/>
    <row r="5" spans="2:12 16363:16368" s="445" customFormat="1" ht="7.5" customHeight="1">
      <c r="B5" s="446"/>
    </row>
    <row r="6" spans="2:12 16363:16368" ht="21.75" customHeight="1" thickBot="1">
      <c r="B6" s="447" t="s">
        <v>852</v>
      </c>
    </row>
    <row r="7" spans="2:12 16363:16368">
      <c r="B7" s="448" t="s">
        <v>724</v>
      </c>
      <c r="C7" s="449"/>
      <c r="D7" s="449"/>
      <c r="E7" s="449"/>
      <c r="F7" s="912">
        <f>'A2.Allocation &amp; Operating Plan'!G10</f>
        <v>0</v>
      </c>
      <c r="G7" s="106" t="s">
        <v>772</v>
      </c>
      <c r="H7" s="14"/>
    </row>
    <row r="8" spans="2:12 16363:16368">
      <c r="B8" s="78" t="s">
        <v>725</v>
      </c>
      <c r="F8" s="912">
        <f>'A2.Allocation &amp; Operating Plan'!G11</f>
        <v>0</v>
      </c>
      <c r="G8" s="106" t="s">
        <v>773</v>
      </c>
      <c r="H8" s="14"/>
    </row>
    <row r="9" spans="2:12 16363:16368">
      <c r="B9" s="78" t="s">
        <v>727</v>
      </c>
      <c r="F9" s="285"/>
      <c r="G9" s="106" t="s">
        <v>774</v>
      </c>
      <c r="H9" s="1186" t="s">
        <v>898</v>
      </c>
      <c r="I9" s="1187"/>
      <c r="XEI9" s="525" t="s">
        <v>309</v>
      </c>
      <c r="XEJ9" s="525"/>
      <c r="XEK9" s="525" t="s">
        <v>398</v>
      </c>
      <c r="XEL9" s="525"/>
      <c r="XEM9" s="525" t="s">
        <v>130</v>
      </c>
      <c r="XEN9" s="525" t="s">
        <v>305</v>
      </c>
    </row>
    <row r="10" spans="2:12 16363:16368" ht="15.5" customHeight="1">
      <c r="B10" s="78" t="s">
        <v>304</v>
      </c>
      <c r="F10" s="912">
        <f>'A2.Allocation &amp; Operating Plan'!I81</f>
        <v>0</v>
      </c>
      <c r="G10" s="106" t="s">
        <v>775</v>
      </c>
      <c r="H10" s="1186"/>
      <c r="I10" s="1187"/>
      <c r="XEI10" s="525" t="s">
        <v>310</v>
      </c>
      <c r="XEJ10" s="525"/>
      <c r="XEK10" s="525" t="s">
        <v>400</v>
      </c>
      <c r="XEL10" s="525"/>
      <c r="XEM10" s="525" t="s">
        <v>115</v>
      </c>
      <c r="XEN10" s="525" t="s">
        <v>307</v>
      </c>
    </row>
    <row r="11" spans="2:12 16363:16368" ht="15.5" customHeight="1">
      <c r="B11" s="78" t="s">
        <v>959</v>
      </c>
      <c r="C11" s="133"/>
      <c r="F11" s="284"/>
      <c r="G11" s="106" t="s">
        <v>776</v>
      </c>
      <c r="H11" s="1186"/>
      <c r="I11" s="1187"/>
      <c r="XEI11" s="525" t="s">
        <v>311</v>
      </c>
      <c r="XEJ11" s="525"/>
      <c r="XEK11" s="525" t="s">
        <v>399</v>
      </c>
      <c r="XEL11" s="525"/>
      <c r="XEM11" s="525"/>
      <c r="XEN11" s="525" t="s">
        <v>308</v>
      </c>
    </row>
    <row r="12" spans="2:12 16363:16368" ht="16" thickBot="1">
      <c r="B12" s="78" t="s">
        <v>392</v>
      </c>
      <c r="C12" s="14"/>
      <c r="D12" s="14"/>
      <c r="F12" s="436"/>
      <c r="G12" s="106" t="s">
        <v>777</v>
      </c>
      <c r="H12" s="1188"/>
      <c r="I12" s="1189"/>
      <c r="XEI12" s="525"/>
      <c r="XEJ12" s="525"/>
      <c r="XEK12" s="525" t="s">
        <v>91</v>
      </c>
      <c r="XEL12" s="525"/>
      <c r="XEM12" s="525"/>
      <c r="XEN12" s="525" t="s">
        <v>334</v>
      </c>
    </row>
    <row r="13" spans="2:12 16363:16368">
      <c r="B13" s="78" t="s">
        <v>835</v>
      </c>
      <c r="C13" s="14"/>
      <c r="D13" s="14"/>
      <c r="F13" s="436"/>
      <c r="G13" s="106" t="s">
        <v>778</v>
      </c>
      <c r="H13" s="866"/>
      <c r="I13" s="116" t="s">
        <v>860</v>
      </c>
      <c r="XEI13" s="525"/>
      <c r="XEJ13" s="525"/>
      <c r="XEK13" s="525"/>
      <c r="XEL13" s="525"/>
      <c r="XEM13" s="525"/>
      <c r="XEN13" s="525" t="s">
        <v>91</v>
      </c>
    </row>
    <row r="14" spans="2:12 16363:16368">
      <c r="B14" s="78" t="s">
        <v>897</v>
      </c>
      <c r="C14" s="14"/>
      <c r="D14" s="14"/>
      <c r="F14" s="436"/>
      <c r="G14" s="106" t="s">
        <v>779</v>
      </c>
      <c r="H14" s="867"/>
      <c r="I14" s="106" t="s">
        <v>895</v>
      </c>
    </row>
    <row r="15" spans="2:12 16363:16368" ht="16" thickBot="1">
      <c r="B15" s="450" t="s">
        <v>306</v>
      </c>
      <c r="C15" s="17"/>
      <c r="D15" s="451"/>
      <c r="E15" s="1190"/>
      <c r="F15" s="1191"/>
      <c r="G15" s="107" t="s">
        <v>859</v>
      </c>
      <c r="H15" s="868"/>
      <c r="I15" s="107" t="s">
        <v>896</v>
      </c>
    </row>
    <row r="16" spans="2:12 16363:16368" s="14" customFormat="1" ht="16" thickBot="1">
      <c r="G16" s="9"/>
      <c r="XEN16" s="9"/>
    </row>
    <row r="17" spans="2:8" ht="31.5" thickBot="1">
      <c r="B17" s="452" t="s">
        <v>175</v>
      </c>
      <c r="C17" s="65"/>
      <c r="D17" s="453" t="s">
        <v>172</v>
      </c>
      <c r="E17" s="454" t="s">
        <v>312</v>
      </c>
      <c r="F17" s="455" t="s">
        <v>313</v>
      </c>
      <c r="H17" s="86"/>
    </row>
    <row r="18" spans="2:8" ht="15.75" customHeight="1">
      <c r="B18" s="456" t="s">
        <v>422</v>
      </c>
      <c r="C18" s="457">
        <v>301</v>
      </c>
      <c r="D18" s="458">
        <f>E197-E187</f>
        <v>0</v>
      </c>
      <c r="E18" s="459">
        <f>D18</f>
        <v>0</v>
      </c>
      <c r="F18" s="460"/>
      <c r="H18" s="1192" t="s">
        <v>737</v>
      </c>
    </row>
    <row r="19" spans="2:8" ht="16" thickBot="1">
      <c r="B19" s="20" t="s">
        <v>819</v>
      </c>
      <c r="C19" s="461">
        <v>302</v>
      </c>
      <c r="D19" s="462">
        <f>E187</f>
        <v>0</v>
      </c>
      <c r="E19" s="463">
        <f>+D19</f>
        <v>0</v>
      </c>
      <c r="F19" s="464"/>
      <c r="H19" s="1193"/>
    </row>
    <row r="20" spans="2:8">
      <c r="B20" s="20" t="s">
        <v>836</v>
      </c>
      <c r="C20" s="461">
        <v>303</v>
      </c>
      <c r="D20" s="101"/>
      <c r="E20" s="27"/>
      <c r="F20" s="465">
        <f>+D20-E20</f>
        <v>0</v>
      </c>
      <c r="H20" s="117" t="str">
        <f>IF(AND(ISNUMBER(D20), ISBLANK(E20)), "Error: Missing 0-6 amount", "")</f>
        <v/>
      </c>
    </row>
    <row r="21" spans="2:8">
      <c r="B21" s="20" t="s">
        <v>820</v>
      </c>
      <c r="C21" s="461">
        <v>304</v>
      </c>
      <c r="D21" s="101"/>
      <c r="E21" s="101"/>
      <c r="F21" s="465">
        <f>+D21-E21</f>
        <v>0</v>
      </c>
      <c r="H21" s="117" t="str">
        <f>IF(AND(ISNUMBER(D21), ISBLANK(E21)), "Error: Missing 0-6 amount", "")</f>
        <v/>
      </c>
    </row>
    <row r="22" spans="2:8">
      <c r="B22" s="20" t="s">
        <v>423</v>
      </c>
      <c r="C22" s="461">
        <v>305</v>
      </c>
      <c r="D22" s="101"/>
      <c r="E22" s="931"/>
      <c r="F22" s="462">
        <f>D22</f>
        <v>0</v>
      </c>
    </row>
    <row r="23" spans="2:8" s="467" customFormat="1">
      <c r="B23" s="20" t="s">
        <v>385</v>
      </c>
      <c r="C23" s="461">
        <v>306</v>
      </c>
      <c r="D23" s="101"/>
      <c r="E23" s="463">
        <f>D23</f>
        <v>0</v>
      </c>
      <c r="F23" s="464"/>
    </row>
    <row r="24" spans="2:8">
      <c r="B24" s="20" t="s">
        <v>383</v>
      </c>
      <c r="C24" s="461">
        <v>307</v>
      </c>
      <c r="D24" s="101"/>
      <c r="E24" s="463"/>
      <c r="F24" s="465">
        <f>D24-E24</f>
        <v>0</v>
      </c>
      <c r="H24" s="555" t="s">
        <v>881</v>
      </c>
    </row>
    <row r="25" spans="2:8">
      <c r="B25" s="20" t="s">
        <v>808</v>
      </c>
      <c r="C25" s="461">
        <v>308</v>
      </c>
      <c r="D25" s="462">
        <f>'A3. Peel Region Grants'!F117</f>
        <v>0</v>
      </c>
      <c r="E25" s="463">
        <f>D25</f>
        <v>0</v>
      </c>
      <c r="F25" s="465">
        <f>D25-E25</f>
        <v>0</v>
      </c>
      <c r="H25" s="555" t="s">
        <v>881</v>
      </c>
    </row>
    <row r="26" spans="2:8" ht="15.75" hidden="1" customHeight="1">
      <c r="B26" s="20" t="s">
        <v>239</v>
      </c>
      <c r="C26" s="461">
        <v>309</v>
      </c>
      <c r="D26" s="929"/>
      <c r="E26" s="930"/>
      <c r="F26" s="465">
        <f>D26-E26</f>
        <v>0</v>
      </c>
      <c r="H26" s="12" t="s">
        <v>283</v>
      </c>
    </row>
    <row r="27" spans="2:8">
      <c r="B27" s="20" t="s">
        <v>809</v>
      </c>
      <c r="C27" s="461">
        <v>309</v>
      </c>
      <c r="D27" s="101"/>
      <c r="E27" s="27"/>
      <c r="F27" s="465">
        <f>D27-E27</f>
        <v>0</v>
      </c>
      <c r="H27" s="555" t="s">
        <v>881</v>
      </c>
    </row>
    <row r="28" spans="2:8">
      <c r="B28" s="419" t="s">
        <v>855</v>
      </c>
      <c r="C28" s="461">
        <v>310</v>
      </c>
      <c r="D28" s="101"/>
      <c r="E28" s="27"/>
      <c r="F28" s="465">
        <f>+D28-E28</f>
        <v>0</v>
      </c>
      <c r="H28" s="117" t="str">
        <f>IF(AND(ISNUMBER(D28), ISBLANK(E28)), "Error: Missing 0-6 amount", "")</f>
        <v/>
      </c>
    </row>
    <row r="29" spans="2:8">
      <c r="B29" s="419" t="s">
        <v>856</v>
      </c>
      <c r="C29" s="461">
        <v>311</v>
      </c>
      <c r="D29" s="101"/>
      <c r="E29" s="27"/>
      <c r="F29" s="465">
        <f>+D29-E29</f>
        <v>0</v>
      </c>
      <c r="H29" s="117" t="str">
        <f>IF(AND(ISNUMBER(D29), ISBLANK(E29)), "Error: Missing 0-6 amount", "")</f>
        <v/>
      </c>
    </row>
    <row r="30" spans="2:8" ht="16.5" customHeight="1" thickBot="1">
      <c r="B30" s="469" t="s">
        <v>176</v>
      </c>
      <c r="C30" s="470">
        <v>312</v>
      </c>
      <c r="D30" s="471">
        <f>SUM(D18:D29)</f>
        <v>0</v>
      </c>
      <c r="E30" s="472">
        <f>SUM(E18:E29)</f>
        <v>0</v>
      </c>
      <c r="F30" s="471">
        <f>SUM(F18:F29)</f>
        <v>0</v>
      </c>
      <c r="H30" s="513"/>
    </row>
    <row r="31" spans="2:8" ht="16.5" customHeight="1" thickBot="1">
      <c r="C31" s="473"/>
      <c r="D31" s="64"/>
      <c r="E31" s="64"/>
      <c r="F31" s="64"/>
    </row>
    <row r="32" spans="2:8" ht="18.5">
      <c r="B32" s="474" t="s">
        <v>419</v>
      </c>
      <c r="C32" s="65"/>
      <c r="D32" s="453" t="s">
        <v>172</v>
      </c>
      <c r="E32" s="453" t="s">
        <v>173</v>
      </c>
      <c r="F32" s="475" t="s">
        <v>174</v>
      </c>
    </row>
    <row r="33" spans="2:11" ht="16" thickBot="1">
      <c r="B33" s="476" t="s">
        <v>394</v>
      </c>
      <c r="C33" s="477"/>
      <c r="D33" s="478"/>
      <c r="E33" s="478" t="s">
        <v>803</v>
      </c>
      <c r="F33" s="479" t="s">
        <v>286</v>
      </c>
    </row>
    <row r="34" spans="2:11" ht="16.5" customHeight="1" thickBot="1">
      <c r="C34" s="17"/>
      <c r="D34" s="480"/>
      <c r="E34" s="481"/>
      <c r="H34" s="1194" t="s">
        <v>386</v>
      </c>
    </row>
    <row r="35" spans="2:11" ht="16" thickBot="1">
      <c r="B35" s="482" t="s">
        <v>469</v>
      </c>
      <c r="C35" s="483">
        <v>411</v>
      </c>
      <c r="D35" s="484">
        <f>+D37+D45+D53</f>
        <v>0</v>
      </c>
      <c r="E35" s="484">
        <f>+E37+E45+E53</f>
        <v>0</v>
      </c>
      <c r="F35" s="484">
        <f>+F37+F45+F53</f>
        <v>0</v>
      </c>
      <c r="H35" s="1195"/>
    </row>
    <row r="36" spans="2:11" ht="16.5" customHeight="1" thickBot="1">
      <c r="C36" s="473"/>
      <c r="D36" s="64"/>
      <c r="E36" s="64"/>
      <c r="F36" s="64"/>
    </row>
    <row r="37" spans="2:11" ht="16" thickBot="1">
      <c r="B37" s="114" t="s">
        <v>720</v>
      </c>
      <c r="C37" s="116" t="s">
        <v>40</v>
      </c>
      <c r="D37" s="484">
        <f>SUM(D38:D44)</f>
        <v>0</v>
      </c>
      <c r="E37" s="484">
        <f>SUM(E38:E44)</f>
        <v>0</v>
      </c>
      <c r="F37" s="484">
        <f>SUM(F38:F44)</f>
        <v>0</v>
      </c>
      <c r="H37" s="493"/>
      <c r="I37" s="9" t="str">
        <f t="shared" ref="I37:I52" si="0">IF(AND(ISNUMBER(D37), ISBLANK(E37)), "Error: Missing 0-6 amount", "")</f>
        <v/>
      </c>
    </row>
    <row r="38" spans="2:11" ht="14.5" customHeight="1">
      <c r="B38" s="278" t="s">
        <v>538</v>
      </c>
      <c r="C38" s="106" t="s">
        <v>41</v>
      </c>
      <c r="D38" s="546"/>
      <c r="E38" s="546"/>
      <c r="F38" s="545">
        <f t="shared" ref="F38:F44" si="1">+D38-E38</f>
        <v>0</v>
      </c>
      <c r="H38" s="437"/>
      <c r="I38" s="117" t="str">
        <f t="shared" si="0"/>
        <v/>
      </c>
      <c r="K38" s="10"/>
    </row>
    <row r="39" spans="2:11" ht="14.5" customHeight="1">
      <c r="B39" s="864" t="s">
        <v>882</v>
      </c>
      <c r="C39" s="112" t="s">
        <v>883</v>
      </c>
      <c r="D39" s="546"/>
      <c r="E39" s="546"/>
      <c r="F39" s="545">
        <f t="shared" si="1"/>
        <v>0</v>
      </c>
      <c r="H39" s="437"/>
      <c r="I39" s="117"/>
      <c r="K39" s="10"/>
    </row>
    <row r="40" spans="2:11">
      <c r="B40" s="278" t="s">
        <v>886</v>
      </c>
      <c r="C40" s="106" t="s">
        <v>42</v>
      </c>
      <c r="D40" s="546"/>
      <c r="E40" s="546"/>
      <c r="F40" s="485">
        <f t="shared" si="1"/>
        <v>0</v>
      </c>
      <c r="H40" s="437"/>
      <c r="I40" s="117" t="str">
        <f t="shared" si="0"/>
        <v/>
      </c>
      <c r="K40" s="10"/>
    </row>
    <row r="41" spans="2:11">
      <c r="B41" s="278" t="s">
        <v>837</v>
      </c>
      <c r="C41" s="106" t="s">
        <v>43</v>
      </c>
      <c r="D41" s="546"/>
      <c r="E41" s="546"/>
      <c r="F41" s="485">
        <f t="shared" si="1"/>
        <v>0</v>
      </c>
      <c r="H41" s="437"/>
      <c r="I41" s="117" t="str">
        <f t="shared" si="0"/>
        <v/>
      </c>
      <c r="K41" s="10"/>
    </row>
    <row r="42" spans="2:11">
      <c r="B42" s="278" t="s">
        <v>965</v>
      </c>
      <c r="C42" s="106" t="s">
        <v>787</v>
      </c>
      <c r="D42" s="546"/>
      <c r="E42" s="546"/>
      <c r="F42" s="485">
        <f t="shared" si="1"/>
        <v>0</v>
      </c>
      <c r="H42" s="437"/>
      <c r="I42" s="117" t="str">
        <f t="shared" si="0"/>
        <v/>
      </c>
      <c r="K42" s="10"/>
    </row>
    <row r="43" spans="2:11">
      <c r="B43" s="278" t="s">
        <v>544</v>
      </c>
      <c r="C43" s="112" t="s">
        <v>788</v>
      </c>
      <c r="D43" s="546"/>
      <c r="E43" s="546"/>
      <c r="F43" s="485">
        <f t="shared" si="1"/>
        <v>0</v>
      </c>
      <c r="H43" s="437"/>
      <c r="I43" s="117" t="str">
        <f t="shared" si="0"/>
        <v/>
      </c>
      <c r="K43" s="10"/>
    </row>
    <row r="44" spans="2:11" ht="16" thickBot="1">
      <c r="B44" s="523" t="s">
        <v>851</v>
      </c>
      <c r="C44" s="107" t="s">
        <v>939</v>
      </c>
      <c r="D44" s="546"/>
      <c r="E44" s="546"/>
      <c r="F44" s="487">
        <f t="shared" si="1"/>
        <v>0</v>
      </c>
      <c r="H44" s="438"/>
      <c r="I44" s="117" t="str">
        <f t="shared" si="0"/>
        <v/>
      </c>
      <c r="K44" s="10"/>
    </row>
    <row r="45" spans="2:11" ht="16" thickBot="1">
      <c r="B45" s="114" t="s">
        <v>550</v>
      </c>
      <c r="C45" s="105" t="s">
        <v>789</v>
      </c>
      <c r="D45" s="484">
        <f>SUM(D46:D52)</f>
        <v>0</v>
      </c>
      <c r="E45" s="484">
        <f>SUM(E46:E52)</f>
        <v>0</v>
      </c>
      <c r="F45" s="484">
        <f>SUM(F46:F52)</f>
        <v>0</v>
      </c>
      <c r="H45" s="493"/>
      <c r="I45" s="117" t="str">
        <f t="shared" si="0"/>
        <v/>
      </c>
    </row>
    <row r="46" spans="2:11">
      <c r="B46" s="278" t="s">
        <v>551</v>
      </c>
      <c r="C46" s="112" t="s">
        <v>790</v>
      </c>
      <c r="D46" s="546"/>
      <c r="E46" s="546"/>
      <c r="F46" s="545">
        <f t="shared" ref="F46:F52" si="2">+D46-E46</f>
        <v>0</v>
      </c>
      <c r="H46" s="439"/>
      <c r="I46" s="117" t="str">
        <f t="shared" si="0"/>
        <v/>
      </c>
      <c r="K46" s="10"/>
    </row>
    <row r="47" spans="2:11">
      <c r="B47" s="864" t="s">
        <v>885</v>
      </c>
      <c r="C47" s="112" t="s">
        <v>884</v>
      </c>
      <c r="D47" s="546"/>
      <c r="E47" s="546"/>
      <c r="F47" s="485">
        <f t="shared" si="2"/>
        <v>0</v>
      </c>
      <c r="H47" s="439"/>
      <c r="I47" s="117"/>
      <c r="K47" s="10"/>
    </row>
    <row r="48" spans="2:11">
      <c r="B48" s="278" t="s">
        <v>887</v>
      </c>
      <c r="C48" s="112" t="s">
        <v>791</v>
      </c>
      <c r="D48" s="546"/>
      <c r="E48" s="546"/>
      <c r="F48" s="485">
        <f t="shared" si="2"/>
        <v>0</v>
      </c>
      <c r="H48" s="439"/>
      <c r="I48" s="117" t="str">
        <f t="shared" si="0"/>
        <v/>
      </c>
      <c r="K48" s="10"/>
    </row>
    <row r="49" spans="2:11">
      <c r="B49" s="278" t="s">
        <v>838</v>
      </c>
      <c r="C49" s="112" t="s">
        <v>792</v>
      </c>
      <c r="D49" s="546"/>
      <c r="E49" s="546"/>
      <c r="F49" s="485">
        <f t="shared" si="2"/>
        <v>0</v>
      </c>
      <c r="H49" s="439"/>
      <c r="I49" s="117" t="str">
        <f t="shared" si="0"/>
        <v/>
      </c>
      <c r="K49" s="10"/>
    </row>
    <row r="50" spans="2:11">
      <c r="B50" s="278" t="s">
        <v>964</v>
      </c>
      <c r="C50" s="112" t="s">
        <v>793</v>
      </c>
      <c r="D50" s="546"/>
      <c r="E50" s="546"/>
      <c r="F50" s="485">
        <f t="shared" si="2"/>
        <v>0</v>
      </c>
      <c r="H50" s="439"/>
      <c r="I50" s="117" t="str">
        <f t="shared" si="0"/>
        <v/>
      </c>
      <c r="K50" s="10"/>
    </row>
    <row r="51" spans="2:11">
      <c r="B51" s="278" t="s">
        <v>557</v>
      </c>
      <c r="C51" s="112" t="s">
        <v>794</v>
      </c>
      <c r="D51" s="546"/>
      <c r="E51" s="546"/>
      <c r="F51" s="485">
        <f t="shared" si="2"/>
        <v>0</v>
      </c>
      <c r="H51" s="439"/>
      <c r="I51" s="117" t="str">
        <f t="shared" si="0"/>
        <v/>
      </c>
      <c r="K51" s="10"/>
    </row>
    <row r="52" spans="2:11" ht="16" thickBot="1">
      <c r="B52" s="523" t="s">
        <v>850</v>
      </c>
      <c r="C52" s="107" t="s">
        <v>795</v>
      </c>
      <c r="D52" s="546"/>
      <c r="E52" s="546"/>
      <c r="F52" s="487">
        <f t="shared" si="2"/>
        <v>0</v>
      </c>
      <c r="H52" s="438"/>
      <c r="I52" s="117" t="str">
        <f t="shared" si="0"/>
        <v/>
      </c>
      <c r="K52" s="10"/>
    </row>
    <row r="53" spans="2:11" ht="16" thickBot="1">
      <c r="B53" s="114" t="s">
        <v>721</v>
      </c>
      <c r="C53" s="105" t="s">
        <v>796</v>
      </c>
      <c r="D53" s="484">
        <f>SUM(D54:D60)</f>
        <v>0</v>
      </c>
      <c r="E53" s="484">
        <f>SUM(E54:E60)</f>
        <v>0</v>
      </c>
      <c r="F53" s="484">
        <f>SUM(F54:F60)</f>
        <v>0</v>
      </c>
      <c r="H53" s="493"/>
    </row>
    <row r="54" spans="2:11">
      <c r="B54" s="488" t="s">
        <v>812</v>
      </c>
      <c r="C54" s="112" t="s">
        <v>797</v>
      </c>
      <c r="D54" s="546"/>
      <c r="E54" s="546"/>
      <c r="F54" s="545">
        <f t="shared" ref="F54:F60" si="3">+D54-E54</f>
        <v>0</v>
      </c>
      <c r="H54" s="439"/>
      <c r="I54" s="117" t="str">
        <f t="shared" ref="I54:I59" si="4">IF(AND(ISNUMBER(D54), ISBLANK(E54)), "Error: Missing 0-6 amount", "")</f>
        <v/>
      </c>
      <c r="K54" s="10"/>
    </row>
    <row r="55" spans="2:11">
      <c r="B55" s="488" t="s">
        <v>813</v>
      </c>
      <c r="C55" s="112" t="s">
        <v>798</v>
      </c>
      <c r="D55" s="546"/>
      <c r="E55" s="546"/>
      <c r="F55" s="485">
        <f t="shared" si="3"/>
        <v>0</v>
      </c>
      <c r="H55" s="439"/>
      <c r="I55" s="117" t="str">
        <f t="shared" si="4"/>
        <v/>
      </c>
      <c r="K55" s="10"/>
    </row>
    <row r="56" spans="2:11">
      <c r="B56" s="489" t="s">
        <v>735</v>
      </c>
      <c r="C56" s="112" t="s">
        <v>799</v>
      </c>
      <c r="D56" s="546"/>
      <c r="E56" s="546"/>
      <c r="F56" s="485">
        <f t="shared" si="3"/>
        <v>0</v>
      </c>
      <c r="H56" s="439"/>
      <c r="I56" s="117" t="str">
        <f t="shared" si="4"/>
        <v/>
      </c>
      <c r="K56" s="10"/>
    </row>
    <row r="57" spans="2:11">
      <c r="B57" s="489" t="s">
        <v>814</v>
      </c>
      <c r="C57" s="112" t="s">
        <v>846</v>
      </c>
      <c r="D57" s="546"/>
      <c r="E57" s="546"/>
      <c r="F57" s="490">
        <f t="shared" si="3"/>
        <v>0</v>
      </c>
      <c r="H57" s="439"/>
      <c r="I57" s="117" t="str">
        <f t="shared" si="4"/>
        <v/>
      </c>
      <c r="K57" s="10"/>
    </row>
    <row r="58" spans="2:11">
      <c r="B58" s="489" t="s">
        <v>839</v>
      </c>
      <c r="C58" s="112" t="s">
        <v>847</v>
      </c>
      <c r="D58" s="546"/>
      <c r="E58" s="546"/>
      <c r="F58" s="490">
        <f t="shared" si="3"/>
        <v>0</v>
      </c>
      <c r="H58" s="439"/>
      <c r="I58" s="117" t="str">
        <f t="shared" si="4"/>
        <v/>
      </c>
      <c r="K58" s="10"/>
    </row>
    <row r="59" spans="2:11">
      <c r="B59" s="489" t="s">
        <v>840</v>
      </c>
      <c r="C59" s="112" t="s">
        <v>848</v>
      </c>
      <c r="D59" s="546"/>
      <c r="E59" s="546"/>
      <c r="F59" s="490">
        <f t="shared" si="3"/>
        <v>0</v>
      </c>
      <c r="H59" s="439"/>
      <c r="I59" s="117" t="str">
        <f t="shared" si="4"/>
        <v/>
      </c>
      <c r="K59" s="10"/>
    </row>
    <row r="60" spans="2:11" ht="16" thickBot="1">
      <c r="B60" s="522" t="s">
        <v>722</v>
      </c>
      <c r="C60" s="107" t="s">
        <v>849</v>
      </c>
      <c r="D60" s="546"/>
      <c r="E60" s="546"/>
      <c r="F60" s="487">
        <f t="shared" si="3"/>
        <v>0</v>
      </c>
      <c r="H60" s="438"/>
      <c r="I60" s="117" t="str">
        <f>IF(AND(ISNUMBER(D60), ISBLANK(E60)), "Error: Missing 0-6 amount", "")</f>
        <v/>
      </c>
      <c r="K60" s="10"/>
    </row>
    <row r="61" spans="2:11" s="12" customFormat="1" ht="16" thickBot="1">
      <c r="B61" s="14"/>
      <c r="C61" s="14"/>
      <c r="D61" s="14"/>
      <c r="E61" s="14"/>
      <c r="F61" s="14"/>
      <c r="G61" s="14"/>
      <c r="H61" s="491"/>
      <c r="K61" s="10"/>
    </row>
    <row r="62" spans="2:11" ht="16" thickBot="1">
      <c r="B62" s="492" t="s">
        <v>45</v>
      </c>
      <c r="C62" s="105">
        <v>421</v>
      </c>
      <c r="D62" s="484">
        <f>SUM(D63:D69)</f>
        <v>0</v>
      </c>
      <c r="E62" s="484">
        <f>SUM(E63:E69)</f>
        <v>0</v>
      </c>
      <c r="F62" s="484">
        <f>SUM(F63:F69)</f>
        <v>0</v>
      </c>
      <c r="H62" s="493"/>
      <c r="I62" s="494"/>
      <c r="K62" s="10"/>
    </row>
    <row r="63" spans="2:11">
      <c r="B63" s="26" t="s">
        <v>178</v>
      </c>
      <c r="C63" s="106" t="s">
        <v>46</v>
      </c>
      <c r="D63" s="546"/>
      <c r="E63" s="546"/>
      <c r="F63" s="545">
        <f t="shared" ref="F63:F69" si="5">+D63-E63</f>
        <v>0</v>
      </c>
      <c r="H63" s="440"/>
      <c r="I63" s="117" t="str">
        <f>IF(AND(ISNUMBER(D63), ISBLANK(E63)), "Error: Missing 0-6 amount", "")</f>
        <v/>
      </c>
      <c r="K63" s="10"/>
    </row>
    <row r="64" spans="2:11">
      <c r="B64" s="26" t="s">
        <v>179</v>
      </c>
      <c r="C64" s="106" t="s">
        <v>48</v>
      </c>
      <c r="D64" s="546"/>
      <c r="E64" s="546"/>
      <c r="F64" s="485">
        <f t="shared" si="5"/>
        <v>0</v>
      </c>
      <c r="H64" s="437"/>
      <c r="I64" s="117" t="str">
        <f t="shared" ref="I64:I69" si="6">IF(AND(ISNUMBER(D64), ISBLANK(E64)), "Error: Missing 0-6 amount", "")</f>
        <v/>
      </c>
      <c r="K64" s="10"/>
    </row>
    <row r="65" spans="2:11">
      <c r="B65" s="26" t="s">
        <v>180</v>
      </c>
      <c r="C65" s="106" t="s">
        <v>49</v>
      </c>
      <c r="D65" s="546"/>
      <c r="E65" s="546"/>
      <c r="F65" s="485">
        <f t="shared" si="5"/>
        <v>0</v>
      </c>
      <c r="H65" s="437"/>
      <c r="I65" s="117" t="str">
        <f t="shared" si="6"/>
        <v/>
      </c>
      <c r="K65" s="10"/>
    </row>
    <row r="66" spans="2:11">
      <c r="B66" s="26" t="s">
        <v>181</v>
      </c>
      <c r="C66" s="106" t="s">
        <v>50</v>
      </c>
      <c r="D66" s="546"/>
      <c r="E66" s="546"/>
      <c r="F66" s="485">
        <f t="shared" si="5"/>
        <v>0</v>
      </c>
      <c r="H66" s="437"/>
      <c r="I66" s="117" t="str">
        <f t="shared" si="6"/>
        <v/>
      </c>
      <c r="K66" s="10"/>
    </row>
    <row r="67" spans="2:11">
      <c r="B67" s="26" t="s">
        <v>182</v>
      </c>
      <c r="C67" s="106" t="s">
        <v>183</v>
      </c>
      <c r="D67" s="546"/>
      <c r="E67" s="546"/>
      <c r="F67" s="485">
        <f t="shared" si="5"/>
        <v>0</v>
      </c>
      <c r="H67" s="440"/>
      <c r="I67" s="117" t="str">
        <f t="shared" si="6"/>
        <v/>
      </c>
      <c r="K67" s="10"/>
    </row>
    <row r="68" spans="2:11">
      <c r="B68" s="26" t="s">
        <v>184</v>
      </c>
      <c r="C68" s="106" t="s">
        <v>51</v>
      </c>
      <c r="D68" s="546"/>
      <c r="E68" s="546"/>
      <c r="F68" s="485">
        <f t="shared" si="5"/>
        <v>0</v>
      </c>
      <c r="H68" s="437"/>
      <c r="I68" s="117" t="str">
        <f t="shared" si="6"/>
        <v/>
      </c>
      <c r="K68" s="10"/>
    </row>
    <row r="69" spans="2:11" ht="16" thickBot="1">
      <c r="B69" s="111" t="s">
        <v>177</v>
      </c>
      <c r="C69" s="107" t="s">
        <v>47</v>
      </c>
      <c r="D69" s="546"/>
      <c r="E69" s="546"/>
      <c r="F69" s="487">
        <f t="shared" si="5"/>
        <v>0</v>
      </c>
      <c r="H69" s="438"/>
      <c r="I69" s="117" t="str">
        <f t="shared" si="6"/>
        <v/>
      </c>
      <c r="K69" s="10"/>
    </row>
    <row r="70" spans="2:11" s="12" customFormat="1" ht="16" thickBot="1">
      <c r="B70" s="9"/>
      <c r="C70" s="9"/>
      <c r="D70" s="9"/>
      <c r="E70" s="9"/>
      <c r="F70" s="9"/>
      <c r="G70" s="86"/>
      <c r="H70" s="495"/>
      <c r="K70" s="10"/>
    </row>
    <row r="71" spans="2:11" s="12" customFormat="1" ht="16" thickBot="1">
      <c r="B71" s="492" t="s">
        <v>52</v>
      </c>
      <c r="C71" s="105">
        <v>431</v>
      </c>
      <c r="D71" s="484">
        <f>SUM(D72:D74)</f>
        <v>0</v>
      </c>
      <c r="E71" s="484">
        <f>SUM(E72:E74)</f>
        <v>0</v>
      </c>
      <c r="F71" s="484">
        <f>SUM(F72:F74)</f>
        <v>0</v>
      </c>
      <c r="G71" s="86"/>
      <c r="H71" s="496"/>
      <c r="K71" s="10"/>
    </row>
    <row r="72" spans="2:11" s="12" customFormat="1">
      <c r="B72" s="26" t="s">
        <v>185</v>
      </c>
      <c r="C72" s="106" t="s">
        <v>53</v>
      </c>
      <c r="D72" s="546"/>
      <c r="E72" s="546">
        <f>IFERROR(+D72*'A2.Allocation &amp; Operating Plan'!C$97,0)</f>
        <v>0</v>
      </c>
      <c r="F72" s="545">
        <f t="shared" ref="F72:F101" si="7">+D72-E72</f>
        <v>0</v>
      </c>
      <c r="G72" s="14"/>
      <c r="H72" s="437"/>
      <c r="K72" s="10"/>
    </row>
    <row r="73" spans="2:11">
      <c r="B73" s="26" t="s">
        <v>186</v>
      </c>
      <c r="C73" s="106" t="s">
        <v>54</v>
      </c>
      <c r="D73" s="546"/>
      <c r="E73" s="27">
        <f>IFERROR(+D73*'A2.Allocation &amp; Operating Plan'!C$97,0)</f>
        <v>0</v>
      </c>
      <c r="F73" s="485">
        <f t="shared" si="7"/>
        <v>0</v>
      </c>
      <c r="G73" s="86"/>
      <c r="H73" s="437"/>
      <c r="K73" s="10"/>
    </row>
    <row r="74" spans="2:11" s="12" customFormat="1" ht="16" thickBot="1">
      <c r="B74" s="111" t="s">
        <v>177</v>
      </c>
      <c r="C74" s="107" t="s">
        <v>187</v>
      </c>
      <c r="D74" s="546"/>
      <c r="E74" s="108">
        <f>IFERROR(+D74*'A2.Allocation &amp; Operating Plan'!C$97,0)</f>
        <v>0</v>
      </c>
      <c r="F74" s="487">
        <f t="shared" si="7"/>
        <v>0</v>
      </c>
      <c r="G74" s="14"/>
      <c r="H74" s="438"/>
      <c r="K74" s="10"/>
    </row>
    <row r="75" spans="2:11" ht="16" thickBot="1">
      <c r="G75" s="86"/>
      <c r="H75" s="495"/>
      <c r="K75" s="10"/>
    </row>
    <row r="76" spans="2:11" s="12" customFormat="1" ht="16" thickBot="1">
      <c r="B76" s="492" t="s">
        <v>55</v>
      </c>
      <c r="C76" s="105">
        <v>441</v>
      </c>
      <c r="D76" s="484">
        <f>SUM(D77:D78)</f>
        <v>0</v>
      </c>
      <c r="E76" s="484">
        <f>SUM(E77:E78)</f>
        <v>0</v>
      </c>
      <c r="F76" s="484">
        <f>SUM(F77:F78)</f>
        <v>0</v>
      </c>
      <c r="G76" s="86"/>
      <c r="H76" s="496"/>
      <c r="K76" s="10"/>
    </row>
    <row r="77" spans="2:11" s="12" customFormat="1">
      <c r="B77" s="26" t="s">
        <v>188</v>
      </c>
      <c r="C77" s="106" t="s">
        <v>56</v>
      </c>
      <c r="D77" s="546"/>
      <c r="E77" s="546">
        <f>IFERROR(+D77*'A2.Allocation &amp; Operating Plan'!C$97,0)</f>
        <v>0</v>
      </c>
      <c r="F77" s="545">
        <f t="shared" si="7"/>
        <v>0</v>
      </c>
      <c r="G77" s="14"/>
      <c r="H77" s="437"/>
      <c r="K77" s="10"/>
    </row>
    <row r="78" spans="2:11" s="12" customFormat="1" ht="16" thickBot="1">
      <c r="B78" s="111" t="s">
        <v>177</v>
      </c>
      <c r="C78" s="107" t="s">
        <v>189</v>
      </c>
      <c r="D78" s="546"/>
      <c r="E78" s="108">
        <f>IFERROR(+D78*'A2.Allocation &amp; Operating Plan'!C$97,0)</f>
        <v>0</v>
      </c>
      <c r="F78" s="487">
        <f t="shared" si="7"/>
        <v>0</v>
      </c>
      <c r="G78" s="14"/>
      <c r="H78" s="438"/>
      <c r="K78" s="10"/>
    </row>
    <row r="79" spans="2:11" ht="15.75" customHeight="1" thickBot="1">
      <c r="G79" s="14"/>
      <c r="H79" s="495"/>
      <c r="K79" s="10"/>
    </row>
    <row r="80" spans="2:11" ht="15" customHeight="1" thickBot="1">
      <c r="B80" s="492" t="s">
        <v>57</v>
      </c>
      <c r="C80" s="105">
        <v>451</v>
      </c>
      <c r="D80" s="484">
        <f>SUM(D81:D101)</f>
        <v>0</v>
      </c>
      <c r="E80" s="484">
        <f>SUM(E81:E101)</f>
        <v>0</v>
      </c>
      <c r="F80" s="484">
        <f>SUM(F81:F101)</f>
        <v>0</v>
      </c>
      <c r="G80" s="14"/>
      <c r="H80" s="496"/>
      <c r="K80" s="10"/>
    </row>
    <row r="81" spans="2:11" ht="14.5" customHeight="1">
      <c r="B81" s="26" t="s">
        <v>190</v>
      </c>
      <c r="C81" s="106" t="s">
        <v>58</v>
      </c>
      <c r="D81" s="546"/>
      <c r="E81" s="546">
        <f>IFERROR(+D81*'A2.Allocation &amp; Operating Plan'!C$97,0)</f>
        <v>0</v>
      </c>
      <c r="F81" s="545">
        <f t="shared" si="7"/>
        <v>0</v>
      </c>
      <c r="G81" s="14"/>
      <c r="H81" s="437"/>
      <c r="K81" s="10"/>
    </row>
    <row r="82" spans="2:11" ht="14.5" customHeight="1">
      <c r="B82" s="497" t="s">
        <v>821</v>
      </c>
      <c r="C82" s="106" t="s">
        <v>59</v>
      </c>
      <c r="D82" s="546"/>
      <c r="E82" s="27">
        <f>IFERROR(+D82*'A2.Allocation &amp; Operating Plan'!C$97,0)</f>
        <v>0</v>
      </c>
      <c r="F82" s="485">
        <f t="shared" si="7"/>
        <v>0</v>
      </c>
      <c r="G82" s="14"/>
      <c r="H82" s="437"/>
      <c r="K82" s="10"/>
    </row>
    <row r="83" spans="2:11" ht="14.5" customHeight="1">
      <c r="B83" s="497" t="s">
        <v>822</v>
      </c>
      <c r="C83" s="106" t="s">
        <v>409</v>
      </c>
      <c r="D83" s="546"/>
      <c r="E83" s="27">
        <f>IFERROR(+D83*'A2.Allocation &amp; Operating Plan'!C$97,0)</f>
        <v>0</v>
      </c>
      <c r="F83" s="485">
        <f t="shared" si="7"/>
        <v>0</v>
      </c>
      <c r="G83" s="14"/>
      <c r="H83" s="437"/>
      <c r="K83" s="10"/>
    </row>
    <row r="84" spans="2:11">
      <c r="B84" s="26" t="s">
        <v>191</v>
      </c>
      <c r="C84" s="106" t="s">
        <v>60</v>
      </c>
      <c r="D84" s="546"/>
      <c r="E84" s="27">
        <f>IFERROR(+D84*'A2.Allocation &amp; Operating Plan'!C$97,0)</f>
        <v>0</v>
      </c>
      <c r="F84" s="485">
        <f t="shared" si="7"/>
        <v>0</v>
      </c>
      <c r="G84" s="14"/>
      <c r="H84" s="437"/>
      <c r="K84" s="10"/>
    </row>
    <row r="85" spans="2:11">
      <c r="B85" s="26" t="s">
        <v>192</v>
      </c>
      <c r="C85" s="106" t="s">
        <v>61</v>
      </c>
      <c r="D85" s="546"/>
      <c r="E85" s="27">
        <f>IFERROR(+D85*'A2.Allocation &amp; Operating Plan'!C$97,0)</f>
        <v>0</v>
      </c>
      <c r="F85" s="485">
        <f>+D85-E85</f>
        <v>0</v>
      </c>
      <c r="G85" s="14"/>
      <c r="H85" s="437"/>
      <c r="K85" s="10"/>
    </row>
    <row r="86" spans="2:11">
      <c r="B86" s="26" t="s">
        <v>193</v>
      </c>
      <c r="C86" s="106" t="s">
        <v>62</v>
      </c>
      <c r="D86" s="546"/>
      <c r="E86" s="27">
        <f>IFERROR(+D86*'A2.Allocation &amp; Operating Plan'!C$97,0)</f>
        <v>0</v>
      </c>
      <c r="F86" s="485">
        <f>+D86-E86</f>
        <v>0</v>
      </c>
      <c r="G86" s="14"/>
      <c r="H86" s="437"/>
      <c r="K86" s="10"/>
    </row>
    <row r="87" spans="2:11">
      <c r="B87" s="26" t="s">
        <v>240</v>
      </c>
      <c r="C87" s="106" t="s">
        <v>63</v>
      </c>
      <c r="D87" s="546"/>
      <c r="E87" s="27">
        <f>IFERROR(+D87*'A2.Allocation &amp; Operating Plan'!C$97,0)</f>
        <v>0</v>
      </c>
      <c r="F87" s="485">
        <f t="shared" si="7"/>
        <v>0</v>
      </c>
      <c r="G87" s="14"/>
      <c r="H87" s="437"/>
      <c r="K87" s="10"/>
    </row>
    <row r="88" spans="2:11">
      <c r="B88" s="26" t="s">
        <v>194</v>
      </c>
      <c r="C88" s="106" t="s">
        <v>64</v>
      </c>
      <c r="D88" s="546"/>
      <c r="E88" s="27">
        <f>IFERROR(+D88*'A2.Allocation &amp; Operating Plan'!C$97,0)</f>
        <v>0</v>
      </c>
      <c r="F88" s="485">
        <f t="shared" si="7"/>
        <v>0</v>
      </c>
      <c r="G88" s="14"/>
      <c r="H88" s="437"/>
      <c r="K88" s="10"/>
    </row>
    <row r="89" spans="2:11">
      <c r="B89" s="20" t="s">
        <v>723</v>
      </c>
      <c r="C89" s="106" t="s">
        <v>65</v>
      </c>
      <c r="D89" s="546"/>
      <c r="E89" s="27">
        <f>IFERROR(+D89*'A2.Allocation &amp; Operating Plan'!C$97,0)</f>
        <v>0</v>
      </c>
      <c r="F89" s="485">
        <f t="shared" si="7"/>
        <v>0</v>
      </c>
      <c r="G89" s="14"/>
      <c r="H89" s="437"/>
      <c r="K89" s="10"/>
    </row>
    <row r="90" spans="2:11">
      <c r="B90" s="20" t="s">
        <v>195</v>
      </c>
      <c r="C90" s="106" t="s">
        <v>66</v>
      </c>
      <c r="D90" s="546"/>
      <c r="E90" s="27">
        <f>IFERROR(+D90*'A2.Allocation &amp; Operating Plan'!C$97,0)</f>
        <v>0</v>
      </c>
      <c r="F90" s="485">
        <f t="shared" si="7"/>
        <v>0</v>
      </c>
      <c r="G90" s="14"/>
      <c r="H90" s="437"/>
      <c r="K90" s="10"/>
    </row>
    <row r="91" spans="2:11">
      <c r="B91" s="26" t="s">
        <v>196</v>
      </c>
      <c r="C91" s="106" t="s">
        <v>67</v>
      </c>
      <c r="D91" s="546"/>
      <c r="E91" s="27">
        <f>IFERROR(+D91*'A2.Allocation &amp; Operating Plan'!C$97,0)</f>
        <v>0</v>
      </c>
      <c r="F91" s="485">
        <f t="shared" si="7"/>
        <v>0</v>
      </c>
      <c r="G91" s="14"/>
      <c r="H91" s="437"/>
      <c r="K91" s="10"/>
    </row>
    <row r="92" spans="2:11">
      <c r="B92" s="26" t="s">
        <v>197</v>
      </c>
      <c r="C92" s="106" t="s">
        <v>68</v>
      </c>
      <c r="D92" s="546"/>
      <c r="E92" s="27">
        <f>IFERROR(+D92*'A2.Allocation &amp; Operating Plan'!C$97,0)</f>
        <v>0</v>
      </c>
      <c r="F92" s="485">
        <f t="shared" si="7"/>
        <v>0</v>
      </c>
      <c r="G92" s="14"/>
      <c r="H92" s="437"/>
      <c r="K92" s="10"/>
    </row>
    <row r="93" spans="2:11">
      <c r="B93" s="26" t="s">
        <v>198</v>
      </c>
      <c r="C93" s="106" t="s">
        <v>69</v>
      </c>
      <c r="D93" s="546"/>
      <c r="E93" s="27">
        <f>IFERROR(+D93*'A2.Allocation &amp; Operating Plan'!C$97,0)</f>
        <v>0</v>
      </c>
      <c r="F93" s="485">
        <f t="shared" si="7"/>
        <v>0</v>
      </c>
      <c r="G93" s="86"/>
      <c r="H93" s="437"/>
      <c r="K93" s="10"/>
    </row>
    <row r="94" spans="2:11" s="12" customFormat="1">
      <c r="B94" s="26" t="s">
        <v>199</v>
      </c>
      <c r="C94" s="106" t="s">
        <v>70</v>
      </c>
      <c r="D94" s="546"/>
      <c r="E94" s="27">
        <f>IFERROR(+D94*'A2.Allocation &amp; Operating Plan'!C$97,0)</f>
        <v>0</v>
      </c>
      <c r="F94" s="485">
        <f t="shared" si="7"/>
        <v>0</v>
      </c>
      <c r="G94" s="14"/>
      <c r="H94" s="437"/>
      <c r="K94" s="10"/>
    </row>
    <row r="95" spans="2:11" s="12" customFormat="1">
      <c r="B95" s="20" t="s">
        <v>467</v>
      </c>
      <c r="C95" s="106" t="s">
        <v>466</v>
      </c>
      <c r="D95" s="546"/>
      <c r="E95" s="27">
        <f>IFERROR(+D95*'A2.Allocation &amp; Operating Plan'!C$97,0)</f>
        <v>0</v>
      </c>
      <c r="F95" s="485">
        <f t="shared" si="7"/>
        <v>0</v>
      </c>
      <c r="G95" s="14"/>
      <c r="H95" s="437"/>
      <c r="K95" s="10"/>
    </row>
    <row r="96" spans="2:11">
      <c r="B96" s="26" t="s">
        <v>200</v>
      </c>
      <c r="C96" s="106" t="s">
        <v>71</v>
      </c>
      <c r="D96" s="546"/>
      <c r="E96" s="27">
        <f>IFERROR(+D96*'A2.Allocation &amp; Operating Plan'!C$97,0)</f>
        <v>0</v>
      </c>
      <c r="F96" s="485">
        <f t="shared" si="7"/>
        <v>0</v>
      </c>
      <c r="G96" s="14"/>
      <c r="H96" s="437"/>
      <c r="K96" s="10"/>
    </row>
    <row r="97" spans="2:11">
      <c r="B97" s="20" t="s">
        <v>201</v>
      </c>
      <c r="C97" s="106" t="s">
        <v>72</v>
      </c>
      <c r="D97" s="546"/>
      <c r="E97" s="27">
        <f>IFERROR(+D97*'A2.Allocation &amp; Operating Plan'!C$97,0)</f>
        <v>0</v>
      </c>
      <c r="F97" s="485">
        <f t="shared" si="7"/>
        <v>0</v>
      </c>
      <c r="G97" s="14"/>
      <c r="H97" s="437"/>
      <c r="K97" s="10"/>
    </row>
    <row r="98" spans="2:11">
      <c r="B98" s="20" t="s">
        <v>468</v>
      </c>
      <c r="C98" s="106" t="s">
        <v>410</v>
      </c>
      <c r="D98" s="546"/>
      <c r="E98" s="27">
        <f>IFERROR(+D98*'A2.Allocation &amp; Operating Plan'!C$97,0)</f>
        <v>0</v>
      </c>
      <c r="F98" s="485">
        <f>+D98-E98</f>
        <v>0</v>
      </c>
      <c r="G98" s="14"/>
      <c r="H98" s="437"/>
      <c r="K98" s="10"/>
    </row>
    <row r="99" spans="2:11" s="12" customFormat="1">
      <c r="B99" s="524" t="s">
        <v>177</v>
      </c>
      <c r="C99" s="106" t="s">
        <v>86</v>
      </c>
      <c r="D99" s="546"/>
      <c r="E99" s="27">
        <f>IFERROR(+D99*'A2.Allocation &amp; Operating Plan'!C$97,0)</f>
        <v>0</v>
      </c>
      <c r="F99" s="485">
        <f t="shared" si="7"/>
        <v>0</v>
      </c>
      <c r="G99" s="14"/>
      <c r="H99" s="437"/>
      <c r="K99" s="10"/>
    </row>
    <row r="100" spans="2:11" s="12" customFormat="1">
      <c r="B100" s="524" t="s">
        <v>177</v>
      </c>
      <c r="C100" s="106" t="s">
        <v>854</v>
      </c>
      <c r="D100" s="546"/>
      <c r="E100" s="27">
        <f>IFERROR(+D100*'A2.Allocation &amp; Operating Plan'!C$97,0)</f>
        <v>0</v>
      </c>
      <c r="F100" s="485">
        <f t="shared" si="7"/>
        <v>0</v>
      </c>
      <c r="G100" s="14"/>
      <c r="H100" s="437"/>
      <c r="K100" s="10"/>
    </row>
    <row r="101" spans="2:11" ht="16" thickBot="1">
      <c r="B101" s="111" t="s">
        <v>177</v>
      </c>
      <c r="C101" s="107" t="s">
        <v>853</v>
      </c>
      <c r="D101" s="546"/>
      <c r="E101" s="108">
        <f>IFERROR(+D101*'A2.Allocation &amp; Operating Plan'!C$97,0)</f>
        <v>0</v>
      </c>
      <c r="F101" s="487">
        <f t="shared" si="7"/>
        <v>0</v>
      </c>
      <c r="G101" s="14"/>
      <c r="H101" s="438"/>
      <c r="K101" s="10"/>
    </row>
    <row r="102" spans="2:11" ht="16" thickBot="1">
      <c r="G102" s="86"/>
      <c r="H102" s="495"/>
      <c r="K102" s="10"/>
    </row>
    <row r="103" spans="2:11" s="12" customFormat="1" ht="16" thickBot="1">
      <c r="B103" s="492" t="s">
        <v>139</v>
      </c>
      <c r="C103" s="105">
        <v>461</v>
      </c>
      <c r="D103" s="484">
        <f>SUM(D104:D108)</f>
        <v>0</v>
      </c>
      <c r="E103" s="484">
        <f>SUM(E104:E108)</f>
        <v>0</v>
      </c>
      <c r="F103" s="484">
        <f>SUM(F104:F108)</f>
        <v>0</v>
      </c>
      <c r="G103" s="86"/>
      <c r="H103" s="496"/>
      <c r="K103" s="10"/>
    </row>
    <row r="104" spans="2:11" s="12" customFormat="1" hidden="1">
      <c r="B104" s="26" t="s">
        <v>202</v>
      </c>
      <c r="C104" s="106" t="s">
        <v>73</v>
      </c>
      <c r="D104" s="547"/>
      <c r="E104" s="547"/>
      <c r="F104" s="545">
        <f>+D104-E104</f>
        <v>0</v>
      </c>
      <c r="G104" s="86"/>
      <c r="H104" s="486"/>
      <c r="K104" s="10"/>
    </row>
    <row r="105" spans="2:11" s="12" customFormat="1">
      <c r="B105" s="26" t="s">
        <v>203</v>
      </c>
      <c r="C105" s="106" t="s">
        <v>74</v>
      </c>
      <c r="D105" s="546"/>
      <c r="E105" s="546">
        <f>IFERROR(+D105*'A2.Allocation &amp; Operating Plan'!C$97,0)</f>
        <v>0</v>
      </c>
      <c r="F105" s="485">
        <f>+D105-E105</f>
        <v>0</v>
      </c>
      <c r="G105" s="86"/>
      <c r="H105" s="437"/>
      <c r="K105" s="10"/>
    </row>
    <row r="106" spans="2:11" s="12" customFormat="1">
      <c r="B106" s="26" t="s">
        <v>204</v>
      </c>
      <c r="C106" s="106" t="s">
        <v>75</v>
      </c>
      <c r="D106" s="546"/>
      <c r="E106" s="546">
        <f>IFERROR(+D106*'A2.Allocation &amp; Operating Plan'!C$97,0)</f>
        <v>0</v>
      </c>
      <c r="F106" s="485">
        <f>+D106-E106</f>
        <v>0</v>
      </c>
      <c r="G106" s="86"/>
      <c r="H106" s="437"/>
      <c r="K106" s="10"/>
    </row>
    <row r="107" spans="2:11" s="12" customFormat="1">
      <c r="B107" s="26" t="s">
        <v>205</v>
      </c>
      <c r="C107" s="106" t="s">
        <v>411</v>
      </c>
      <c r="D107" s="546"/>
      <c r="E107" s="546">
        <f>IFERROR(+D107*'A2.Allocation &amp; Operating Plan'!C$97,0)</f>
        <v>0</v>
      </c>
      <c r="F107" s="485">
        <f>+D107-E107</f>
        <v>0</v>
      </c>
      <c r="G107" s="86"/>
      <c r="H107" s="437"/>
      <c r="K107" s="10"/>
    </row>
    <row r="108" spans="2:11" s="12" customFormat="1" ht="16" thickBot="1">
      <c r="B108" s="111" t="s">
        <v>177</v>
      </c>
      <c r="C108" s="107" t="s">
        <v>412</v>
      </c>
      <c r="D108" s="546"/>
      <c r="E108" s="546">
        <f>IFERROR(+D108*'A2.Allocation &amp; Operating Plan'!C$97,0)</f>
        <v>0</v>
      </c>
      <c r="F108" s="487">
        <f>+D108-E108</f>
        <v>0</v>
      </c>
      <c r="G108" s="86"/>
      <c r="H108" s="438"/>
      <c r="K108" s="10"/>
    </row>
    <row r="109" spans="2:11" ht="16" thickBot="1">
      <c r="C109" s="12"/>
      <c r="D109" s="12"/>
      <c r="E109" s="498"/>
      <c r="F109" s="498"/>
      <c r="G109" s="86"/>
      <c r="H109" s="10"/>
    </row>
    <row r="110" spans="2:11" ht="16" thickBot="1">
      <c r="B110" s="492" t="s">
        <v>459</v>
      </c>
      <c r="C110" s="105">
        <v>465</v>
      </c>
      <c r="D110" s="484">
        <f>SUM(D111)</f>
        <v>0</v>
      </c>
      <c r="E110" s="484">
        <f>SUM(E111)</f>
        <v>0</v>
      </c>
      <c r="F110" s="484">
        <f>SUM(F111)</f>
        <v>0</v>
      </c>
      <c r="G110" s="14"/>
    </row>
    <row r="111" spans="2:11" ht="16" thickBot="1">
      <c r="B111" s="499" t="s">
        <v>354</v>
      </c>
      <c r="C111" s="500" t="s">
        <v>861</v>
      </c>
      <c r="D111" s="484">
        <f>'A3. Peel Region Grants'!F117</f>
        <v>0</v>
      </c>
      <c r="E111" s="484">
        <f>D111</f>
        <v>0</v>
      </c>
      <c r="F111" s="551">
        <f>D111-E111</f>
        <v>0</v>
      </c>
      <c r="G111" s="14"/>
      <c r="H111" s="555" t="s">
        <v>881</v>
      </c>
      <c r="I111" s="14"/>
      <c r="J111" s="14"/>
      <c r="K111" s="14"/>
    </row>
    <row r="112" spans="2:11" ht="16" thickBot="1">
      <c r="C112" s="12"/>
      <c r="D112" s="12"/>
      <c r="E112" s="498"/>
      <c r="F112" s="498"/>
      <c r="G112" s="12"/>
      <c r="H112" s="10"/>
    </row>
    <row r="113" spans="2:8" s="12" customFormat="1" ht="16" thickBot="1">
      <c r="B113" s="501" t="s">
        <v>76</v>
      </c>
      <c r="C113" s="105">
        <v>471</v>
      </c>
      <c r="D113" s="484">
        <f>SUM(D114:D116)</f>
        <v>0</v>
      </c>
      <c r="E113" s="484">
        <f>SUM(E114:E116)</f>
        <v>0</v>
      </c>
      <c r="F113" s="484"/>
      <c r="H113" s="9"/>
    </row>
    <row r="114" spans="2:8" s="12" customFormat="1">
      <c r="B114" s="102" t="s">
        <v>44</v>
      </c>
      <c r="C114" s="106" t="s">
        <v>413</v>
      </c>
      <c r="D114" s="546"/>
      <c r="E114" s="552">
        <f>D114</f>
        <v>0</v>
      </c>
      <c r="F114" s="553"/>
      <c r="H114" s="9"/>
    </row>
    <row r="115" spans="2:8" s="12" customFormat="1">
      <c r="B115" s="102" t="s">
        <v>44</v>
      </c>
      <c r="C115" s="106" t="s">
        <v>414</v>
      </c>
      <c r="D115" s="546"/>
      <c r="E115" s="468">
        <f>D115</f>
        <v>0</v>
      </c>
      <c r="F115" s="466"/>
      <c r="H115" s="9"/>
    </row>
    <row r="116" spans="2:8" s="12" customFormat="1" ht="16" thickBot="1">
      <c r="B116" s="113" t="s">
        <v>44</v>
      </c>
      <c r="C116" s="107" t="s">
        <v>415</v>
      </c>
      <c r="D116" s="546"/>
      <c r="E116" s="502">
        <f>D116</f>
        <v>0</v>
      </c>
      <c r="F116" s="503"/>
      <c r="H116" s="10"/>
    </row>
    <row r="117" spans="2:8" s="12" customFormat="1" ht="16" thickBot="1">
      <c r="B117" s="9"/>
      <c r="C117" s="9"/>
      <c r="D117" s="9"/>
      <c r="E117" s="9"/>
      <c r="F117" s="9"/>
      <c r="H117" s="9"/>
    </row>
    <row r="118" spans="2:8" s="12" customFormat="1" ht="16" thickBot="1">
      <c r="B118" s="501" t="s">
        <v>810</v>
      </c>
      <c r="C118" s="105">
        <v>481</v>
      </c>
      <c r="D118" s="484">
        <f>SUM(D119:D121)</f>
        <v>0</v>
      </c>
      <c r="E118" s="484">
        <f>SUM(E119:E121)</f>
        <v>0</v>
      </c>
      <c r="F118" s="484"/>
      <c r="H118" s="9"/>
    </row>
    <row r="119" spans="2:8" s="12" customFormat="1">
      <c r="B119" s="102" t="s">
        <v>44</v>
      </c>
      <c r="C119" s="106" t="s">
        <v>416</v>
      </c>
      <c r="D119" s="546"/>
      <c r="E119" s="552">
        <f>D119</f>
        <v>0</v>
      </c>
      <c r="F119" s="553"/>
      <c r="H119" s="9"/>
    </row>
    <row r="120" spans="2:8" s="12" customFormat="1">
      <c r="B120" s="102" t="s">
        <v>44</v>
      </c>
      <c r="C120" s="106" t="s">
        <v>417</v>
      </c>
      <c r="D120" s="546"/>
      <c r="E120" s="468">
        <f>D120</f>
        <v>0</v>
      </c>
      <c r="F120" s="466"/>
      <c r="H120" s="9"/>
    </row>
    <row r="121" spans="2:8" s="12" customFormat="1" ht="16" thickBot="1">
      <c r="B121" s="113" t="s">
        <v>44</v>
      </c>
      <c r="C121" s="107" t="s">
        <v>418</v>
      </c>
      <c r="D121" s="546"/>
      <c r="E121" s="502">
        <f>D121</f>
        <v>0</v>
      </c>
      <c r="F121" s="503"/>
      <c r="H121" s="9"/>
    </row>
    <row r="122" spans="2:8" s="12" customFormat="1" ht="16" thickBot="1">
      <c r="B122" s="9"/>
      <c r="C122" s="9"/>
      <c r="D122" s="9"/>
      <c r="E122" s="9"/>
      <c r="F122" s="9"/>
      <c r="H122" s="9"/>
    </row>
    <row r="123" spans="2:8" ht="16" thickBot="1">
      <c r="B123" s="504" t="s">
        <v>206</v>
      </c>
      <c r="C123" s="505">
        <v>490</v>
      </c>
      <c r="D123" s="506">
        <f>+D80+D71+D62+D35+D76+D113+D118+D110+D103</f>
        <v>0</v>
      </c>
      <c r="E123" s="506">
        <f>+E80+E71+E62+E35+E76+E113+E118+E110+E103</f>
        <v>0</v>
      </c>
      <c r="F123" s="507">
        <f>+F80+F71+F62+F35+F76+F110+F103</f>
        <v>0</v>
      </c>
      <c r="H123" s="77"/>
    </row>
    <row r="124" spans="2:8" ht="16" thickBot="1"/>
    <row r="125" spans="2:8" ht="16" thickBot="1">
      <c r="B125" s="504" t="s">
        <v>207</v>
      </c>
      <c r="C125" s="508" t="s">
        <v>167</v>
      </c>
      <c r="D125" s="509">
        <f>+D30-D123</f>
        <v>0</v>
      </c>
      <c r="E125" s="509">
        <f>+E30-E123</f>
        <v>0</v>
      </c>
      <c r="F125" s="510">
        <f>+F30-F123</f>
        <v>0</v>
      </c>
      <c r="H125" s="12"/>
    </row>
    <row r="126" spans="2:8">
      <c r="B126" s="511"/>
      <c r="D126" s="512"/>
      <c r="E126" s="512"/>
      <c r="F126" s="512"/>
      <c r="H126" s="12"/>
    </row>
    <row r="127" spans="2:8">
      <c r="H127" s="12"/>
    </row>
    <row r="128" spans="2:8">
      <c r="H128" s="12"/>
    </row>
    <row r="129" spans="2:13" ht="24" hidden="1" thickBot="1">
      <c r="B129" s="1196" t="str">
        <f>IF('A1. Identification'!B6=0, " ", "CWELCC Reconciliation of "&amp; 'A2.Allocation &amp; Operating Plan'!$C$81)</f>
        <v xml:space="preserve">CWELCC Reconciliation of  </v>
      </c>
      <c r="C129" s="1197"/>
      <c r="D129" s="1197"/>
      <c r="E129" s="1197"/>
    </row>
    <row r="130" spans="2:13" ht="24" hidden="1" thickBot="1">
      <c r="B130" s="557"/>
      <c r="C130" s="557"/>
      <c r="D130" s="557"/>
      <c r="E130" s="557"/>
    </row>
    <row r="131" spans="2:13" ht="42.5" hidden="1" outlineLevel="1" thickBot="1">
      <c r="B131" s="1198" t="s">
        <v>357</v>
      </c>
      <c r="C131" s="1199"/>
      <c r="D131" s="559" t="s">
        <v>23</v>
      </c>
      <c r="E131" s="998"/>
    </row>
    <row r="132" spans="2:13" hidden="1" outlineLevel="1">
      <c r="B132" s="1200" t="s">
        <v>33</v>
      </c>
      <c r="C132" s="1200"/>
      <c r="D132" s="876">
        <f>'A2.Allocation &amp; Operating Plan'!G20</f>
        <v>0</v>
      </c>
      <c r="E132" s="556"/>
      <c r="F132" s="14"/>
      <c r="G132" s="14"/>
      <c r="H132" s="14"/>
    </row>
    <row r="133" spans="2:13" hidden="1" outlineLevel="1">
      <c r="B133" s="1201" t="s">
        <v>237</v>
      </c>
      <c r="C133" s="1201"/>
      <c r="D133" s="876">
        <f>'A2.Allocation &amp; Operating Plan'!G23</f>
        <v>0</v>
      </c>
      <c r="E133" s="556"/>
      <c r="F133" s="14"/>
      <c r="G133" s="14"/>
      <c r="H133" s="14"/>
    </row>
    <row r="134" spans="2:13" ht="30" hidden="1" outlineLevel="1">
      <c r="B134" s="1178" t="s">
        <v>87</v>
      </c>
      <c r="C134" s="1179"/>
      <c r="D134" s="564">
        <f>D132+D133</f>
        <v>0</v>
      </c>
      <c r="E134" s="556"/>
      <c r="F134" s="14"/>
      <c r="G134" s="514"/>
      <c r="H134" s="515"/>
      <c r="I134" s="514"/>
      <c r="J134" s="514"/>
      <c r="K134" s="516"/>
      <c r="L134" s="14"/>
      <c r="M134" s="14"/>
    </row>
    <row r="135" spans="2:13" ht="29.5" hidden="1" outlineLevel="1">
      <c r="B135" s="565" t="s">
        <v>390</v>
      </c>
      <c r="C135" s="563"/>
      <c r="D135" s="564"/>
      <c r="E135" s="556"/>
      <c r="F135" s="14"/>
      <c r="G135" s="517"/>
      <c r="H135" s="518"/>
      <c r="I135" s="517"/>
      <c r="J135" s="517"/>
      <c r="K135" s="519"/>
      <c r="L135" s="14"/>
      <c r="M135" s="14"/>
    </row>
    <row r="136" spans="2:13" ht="29.5" hidden="1" outlineLevel="1">
      <c r="B136" s="1204" t="s">
        <v>358</v>
      </c>
      <c r="C136" s="1204"/>
      <c r="D136" s="877">
        <f>-E20</f>
        <v>0</v>
      </c>
      <c r="E136" s="556"/>
      <c r="F136" s="14"/>
      <c r="G136" s="517"/>
      <c r="H136" s="518"/>
      <c r="I136" s="517"/>
      <c r="J136" s="517"/>
      <c r="K136" s="519"/>
      <c r="L136" s="14"/>
      <c r="M136" s="14"/>
    </row>
    <row r="137" spans="2:13" ht="29.5" hidden="1" outlineLevel="1">
      <c r="B137" s="1204" t="s">
        <v>359</v>
      </c>
      <c r="C137" s="1204"/>
      <c r="D137" s="566"/>
      <c r="E137" s="556"/>
      <c r="F137" s="14"/>
      <c r="G137" s="517"/>
      <c r="H137" s="518"/>
      <c r="I137" s="517"/>
      <c r="J137" s="517"/>
      <c r="K137" s="519"/>
      <c r="L137" s="14"/>
      <c r="M137" s="14"/>
    </row>
    <row r="138" spans="2:13" ht="29.5" hidden="1" outlineLevel="1">
      <c r="B138" s="1205" t="s">
        <v>360</v>
      </c>
      <c r="C138" s="1206"/>
      <c r="D138" s="878">
        <f>-E21</f>
        <v>0</v>
      </c>
      <c r="E138" s="558"/>
      <c r="F138" s="14"/>
      <c r="G138" s="517"/>
      <c r="H138" s="518"/>
      <c r="I138" s="517"/>
      <c r="J138" s="517"/>
      <c r="K138" s="519"/>
      <c r="L138" s="14"/>
      <c r="M138" s="14"/>
    </row>
    <row r="139" spans="2:13" ht="29.5" hidden="1" outlineLevel="1">
      <c r="B139" s="1178" t="s">
        <v>438</v>
      </c>
      <c r="C139" s="1179"/>
      <c r="D139" s="568">
        <f>D137+D138+D136</f>
        <v>0</v>
      </c>
      <c r="E139" s="558"/>
      <c r="F139" s="14"/>
      <c r="G139" s="517"/>
      <c r="H139" s="518"/>
      <c r="I139" s="517"/>
      <c r="J139" s="517"/>
      <c r="K139" s="519"/>
      <c r="L139" s="14"/>
      <c r="M139" s="14"/>
    </row>
    <row r="140" spans="2:13" ht="29.5" hidden="1" outlineLevel="1">
      <c r="B140" s="562"/>
      <c r="C140" s="563"/>
      <c r="D140" s="569"/>
      <c r="E140" s="558"/>
      <c r="F140" s="14"/>
      <c r="G140" s="517"/>
      <c r="H140" s="518"/>
      <c r="I140" s="517"/>
      <c r="J140" s="517"/>
      <c r="K140" s="519"/>
      <c r="L140" s="14"/>
      <c r="M140" s="14"/>
    </row>
    <row r="141" spans="2:13" ht="29.5" hidden="1" outlineLevel="1">
      <c r="B141" s="1207" t="s">
        <v>380</v>
      </c>
      <c r="C141" s="1207"/>
      <c r="D141" s="570">
        <f>D134+D139</f>
        <v>0</v>
      </c>
      <c r="E141" s="557"/>
      <c r="F141" s="14"/>
      <c r="G141" s="517"/>
      <c r="H141" s="518"/>
      <c r="I141" s="517"/>
      <c r="J141" s="517"/>
      <c r="K141" s="519"/>
      <c r="L141" s="14"/>
      <c r="M141" s="14"/>
    </row>
    <row r="142" spans="2:13" ht="29.5" hidden="1" outlineLevel="1">
      <c r="B142" s="571"/>
      <c r="C142" s="571"/>
      <c r="D142" s="572"/>
      <c r="E142" s="557"/>
      <c r="F142" s="14"/>
      <c r="G142" s="517"/>
      <c r="H142" s="518"/>
      <c r="I142" s="517"/>
      <c r="J142" s="517"/>
      <c r="K142" s="519"/>
      <c r="L142" s="14"/>
      <c r="M142" s="14"/>
    </row>
    <row r="143" spans="2:13" ht="29.5" hidden="1" outlineLevel="1">
      <c r="B143" s="573" t="s">
        <v>39</v>
      </c>
      <c r="C143" s="574" t="s">
        <v>90</v>
      </c>
      <c r="D143" s="575" t="s">
        <v>344</v>
      </c>
      <c r="E143"/>
      <c r="F143" s="14"/>
      <c r="G143" s="517"/>
      <c r="H143" s="518"/>
      <c r="I143" s="517"/>
      <c r="J143" s="517"/>
      <c r="K143" s="519"/>
      <c r="L143" s="14"/>
      <c r="M143" s="14"/>
    </row>
    <row r="144" spans="2:13" ht="29.5" hidden="1" outlineLevel="1">
      <c r="B144" s="536" t="s">
        <v>485</v>
      </c>
      <c r="C144" s="537"/>
      <c r="D144" s="879">
        <f>E123</f>
        <v>0</v>
      </c>
      <c r="E144"/>
      <c r="F144" s="14"/>
      <c r="G144" s="517"/>
      <c r="H144" s="518"/>
      <c r="I144" s="517"/>
      <c r="J144" s="517"/>
      <c r="K144" s="519"/>
      <c r="L144" s="14"/>
      <c r="M144" s="14"/>
    </row>
    <row r="145" spans="2:13" ht="29.5" hidden="1" outlineLevel="1">
      <c r="B145" s="536" t="s">
        <v>336</v>
      </c>
      <c r="C145" s="537"/>
      <c r="D145" s="538"/>
      <c r="E145"/>
      <c r="F145" s="14"/>
      <c r="G145" s="517"/>
      <c r="H145" s="518"/>
      <c r="I145" s="517"/>
      <c r="J145" s="517"/>
      <c r="K145" s="519"/>
      <c r="L145" s="14"/>
      <c r="M145" s="14"/>
    </row>
    <row r="146" spans="2:13" ht="29.5" hidden="1" outlineLevel="1">
      <c r="B146" s="536" t="s">
        <v>393</v>
      </c>
      <c r="C146" s="537"/>
      <c r="D146" s="539"/>
      <c r="E146" s="3"/>
      <c r="F146" s="14"/>
      <c r="G146" s="517"/>
      <c r="H146" s="518"/>
      <c r="I146" s="517"/>
      <c r="J146" s="517"/>
      <c r="K146" s="519"/>
      <c r="L146" s="14"/>
      <c r="M146" s="14"/>
    </row>
    <row r="147" spans="2:13" ht="29.5" hidden="1" outlineLevel="1">
      <c r="B147" s="540" t="s">
        <v>476</v>
      </c>
      <c r="C147" s="537"/>
      <c r="D147" s="541"/>
      <c r="E147"/>
      <c r="F147" s="14"/>
      <c r="G147" s="517"/>
      <c r="H147" s="518"/>
      <c r="I147" s="517"/>
      <c r="J147" s="517"/>
      <c r="K147" s="519"/>
      <c r="L147" s="14"/>
      <c r="M147" s="14"/>
    </row>
    <row r="148" spans="2:13" ht="29.5" hidden="1" outlineLevel="1">
      <c r="B148" s="577" t="s">
        <v>477</v>
      </c>
      <c r="C148" s="542"/>
      <c r="D148" s="541"/>
      <c r="E148"/>
      <c r="F148" s="14"/>
      <c r="G148" s="517"/>
      <c r="H148" s="518"/>
      <c r="I148" s="517"/>
      <c r="J148" s="517"/>
      <c r="K148" s="519"/>
      <c r="L148" s="14"/>
      <c r="M148" s="14"/>
    </row>
    <row r="149" spans="2:13" ht="29.5" hidden="1" outlineLevel="1">
      <c r="B149" s="865" t="s">
        <v>888</v>
      </c>
      <c r="C149" s="537"/>
      <c r="D149" s="880">
        <f>-E59</f>
        <v>0</v>
      </c>
      <c r="E149"/>
      <c r="F149" s="14"/>
      <c r="G149" s="517"/>
      <c r="H149" s="518"/>
      <c r="I149" s="517"/>
      <c r="J149" s="517"/>
      <c r="K149" s="519"/>
      <c r="L149" s="14"/>
      <c r="M149" s="14"/>
    </row>
    <row r="150" spans="2:13" ht="29.5" hidden="1" outlineLevel="1">
      <c r="B150" s="577" t="s">
        <v>889</v>
      </c>
      <c r="C150" s="542"/>
      <c r="D150" s="880">
        <f>-E83</f>
        <v>0</v>
      </c>
      <c r="E150"/>
      <c r="F150" s="14"/>
      <c r="G150" s="517"/>
      <c r="H150" s="518"/>
      <c r="I150" s="517"/>
      <c r="J150" s="517"/>
      <c r="K150" s="519"/>
      <c r="L150" s="14"/>
      <c r="M150" s="14"/>
    </row>
    <row r="151" spans="2:13" ht="29.5" hidden="1" outlineLevel="1">
      <c r="B151" s="577" t="s">
        <v>890</v>
      </c>
      <c r="C151" s="542"/>
      <c r="D151" s="880">
        <f>-E106</f>
        <v>0</v>
      </c>
      <c r="E151"/>
      <c r="F151" s="14"/>
      <c r="G151" s="517"/>
      <c r="H151" s="518"/>
      <c r="I151" s="517"/>
      <c r="J151" s="517"/>
      <c r="K151" s="519"/>
      <c r="L151" s="14"/>
      <c r="M151" s="14"/>
    </row>
    <row r="152" spans="2:13" ht="29.5" hidden="1" outlineLevel="1">
      <c r="B152" s="577" t="s">
        <v>862</v>
      </c>
      <c r="C152" s="542"/>
      <c r="D152" s="880">
        <f>-E97</f>
        <v>0</v>
      </c>
      <c r="E152"/>
      <c r="F152" s="14"/>
      <c r="G152" s="517"/>
      <c r="H152" s="518"/>
      <c r="I152" s="517"/>
      <c r="J152" s="517"/>
      <c r="K152" s="519"/>
      <c r="L152" s="14"/>
      <c r="M152" s="14"/>
    </row>
    <row r="153" spans="2:13" ht="29.5" hidden="1" outlineLevel="1">
      <c r="B153" s="540" t="s">
        <v>891</v>
      </c>
      <c r="C153" s="537"/>
      <c r="D153" s="880">
        <f>-E113</f>
        <v>0</v>
      </c>
      <c r="E153"/>
      <c r="F153" s="14"/>
      <c r="G153" s="517"/>
      <c r="H153" s="518"/>
      <c r="I153" s="517"/>
      <c r="J153" s="517"/>
      <c r="K153" s="519"/>
      <c r="L153" s="14"/>
      <c r="M153" s="14"/>
    </row>
    <row r="154" spans="2:13" ht="29.5" hidden="1" outlineLevel="1">
      <c r="B154" s="540" t="s">
        <v>892</v>
      </c>
      <c r="C154" s="537"/>
      <c r="D154" s="880">
        <f>-E118</f>
        <v>0</v>
      </c>
      <c r="E154"/>
      <c r="F154" s="14"/>
      <c r="G154" s="517"/>
      <c r="H154" s="518"/>
      <c r="I154" s="517"/>
      <c r="J154" s="517"/>
      <c r="K154" s="520"/>
      <c r="L154" s="14"/>
      <c r="M154" s="14"/>
    </row>
    <row r="155" spans="2:13" hidden="1" outlineLevel="1">
      <c r="B155" s="540" t="s">
        <v>893</v>
      </c>
      <c r="C155" s="537"/>
      <c r="D155" s="541"/>
      <c r="E155"/>
      <c r="F155" s="14"/>
      <c r="G155" s="14"/>
      <c r="H155" s="14"/>
      <c r="I155" s="14"/>
      <c r="J155" s="14"/>
      <c r="K155" s="14"/>
      <c r="L155" s="14"/>
      <c r="M155" s="14"/>
    </row>
    <row r="156" spans="2:13" ht="18.5" hidden="1" outlineLevel="1">
      <c r="B156" s="865" t="s">
        <v>894</v>
      </c>
      <c r="C156" s="537"/>
      <c r="D156" s="543"/>
      <c r="E156"/>
      <c r="F156" s="14"/>
      <c r="G156" s="14"/>
      <c r="H156" s="14"/>
      <c r="I156" s="14"/>
      <c r="J156" s="14"/>
      <c r="K156" s="14"/>
      <c r="L156" s="14"/>
      <c r="M156" s="14"/>
    </row>
    <row r="157" spans="2:13" hidden="1" outlineLevel="1">
      <c r="B157" s="536" t="s">
        <v>342</v>
      </c>
      <c r="C157" s="537"/>
      <c r="D157" s="544">
        <f>SUM(D146:D156)</f>
        <v>0</v>
      </c>
      <c r="E157"/>
      <c r="F157" s="14"/>
      <c r="G157" s="14"/>
      <c r="H157" s="14"/>
      <c r="I157" s="14"/>
      <c r="J157" s="14"/>
      <c r="K157" s="14"/>
      <c r="L157" s="14"/>
      <c r="M157" s="14"/>
    </row>
    <row r="158" spans="2:13" hidden="1" outlineLevel="1">
      <c r="B158" s="536"/>
      <c r="C158" s="537"/>
      <c r="D158" s="538"/>
      <c r="E158"/>
      <c r="F158" s="14"/>
      <c r="G158" s="14"/>
      <c r="H158" s="14"/>
    </row>
    <row r="159" spans="2:13" hidden="1" outlineLevel="1">
      <c r="B159" s="536" t="s">
        <v>343</v>
      </c>
      <c r="C159" s="537"/>
      <c r="D159" s="538">
        <f>+D144+D157</f>
        <v>0</v>
      </c>
      <c r="E159" s="578"/>
      <c r="F159" s="14"/>
      <c r="G159" s="14"/>
      <c r="H159" s="14"/>
    </row>
    <row r="160" spans="2:13" hidden="1" outlineLevel="1">
      <c r="B160" s="536"/>
      <c r="C160" s="537"/>
      <c r="D160" s="538"/>
      <c r="E160"/>
      <c r="F160" s="14"/>
      <c r="G160" s="14"/>
      <c r="H160" s="14"/>
    </row>
    <row r="161" spans="2:8" hidden="1" outlineLevel="1">
      <c r="B161" s="536" t="s">
        <v>345</v>
      </c>
      <c r="C161" s="537"/>
      <c r="D161" s="538">
        <f>IFERROR('A2.Allocation &amp; Operating Plan'!G20,0)</f>
        <v>0</v>
      </c>
      <c r="E161"/>
      <c r="F161" s="14"/>
      <c r="G161" s="14"/>
      <c r="H161" s="14"/>
    </row>
    <row r="162" spans="2:8" hidden="1" outlineLevel="1">
      <c r="B162" s="536"/>
      <c r="C162" s="537"/>
      <c r="D162" s="538"/>
      <c r="E162"/>
      <c r="F162" s="14"/>
      <c r="G162" s="14"/>
      <c r="H162" s="14"/>
    </row>
    <row r="163" spans="2:8" hidden="1" outlineLevel="1">
      <c r="B163" s="536" t="s">
        <v>346</v>
      </c>
      <c r="C163" s="537"/>
      <c r="D163" s="538">
        <f>IF(D159&gt;D161,0,ROUND(D161-D159,2))</f>
        <v>0</v>
      </c>
      <c r="E163"/>
      <c r="F163" s="14"/>
      <c r="G163" s="14"/>
      <c r="H163" s="14"/>
    </row>
    <row r="164" spans="2:8" hidden="1" outlineLevel="1">
      <c r="B164" s="536" t="str">
        <f>IF(Table13245[[#This Row],[Amounts]]&gt;0,"Underspending of CWELCC program applied to OTEF", " ")</f>
        <v xml:space="preserve"> </v>
      </c>
      <c r="C164" s="581"/>
      <c r="D164" s="538"/>
      <c r="E164"/>
      <c r="F164" s="14"/>
      <c r="G164" s="14"/>
      <c r="H164" s="14"/>
    </row>
    <row r="165" spans="2:8" hidden="1" outlineLevel="1">
      <c r="B165" s="577" t="s">
        <v>857</v>
      </c>
      <c r="C165" s="542"/>
      <c r="D165" s="538"/>
      <c r="E165"/>
      <c r="F165" s="14"/>
      <c r="G165" s="14"/>
      <c r="H165" s="14"/>
    </row>
    <row r="166" spans="2:8" hidden="1" outlineLevel="1">
      <c r="B166" s="582" t="s">
        <v>350</v>
      </c>
      <c r="C166" s="583"/>
      <c r="D166" s="584">
        <f>ROUND(D163-D164,2)</f>
        <v>0</v>
      </c>
      <c r="E166"/>
      <c r="F166" s="521"/>
      <c r="G166" s="14"/>
      <c r="H166" s="14"/>
    </row>
    <row r="167" spans="2:8" hidden="1" outlineLevel="1">
      <c r="B167" s="585"/>
      <c r="C167" s="586"/>
      <c r="D167" s="587"/>
      <c r="E167" s="588"/>
      <c r="F167" s="14"/>
      <c r="G167" s="14"/>
      <c r="H167" s="14"/>
    </row>
    <row r="168" spans="2:8" ht="18.5" hidden="1" outlineLevel="1">
      <c r="B168" s="104" t="str">
        <f>IF(C236&gt;0,"*Important Note: CWELCC program allocation underspending of $" &amp;ROUND(C236,0)&amp; " is being applied to your OTEF grant to maximize your Cost based funding, your remaining amount in Program cost underspending is $"&amp;D166," ")</f>
        <v xml:space="preserve"> </v>
      </c>
      <c r="C168"/>
      <c r="D168" s="57"/>
      <c r="E168" s="589"/>
      <c r="F168" s="14"/>
      <c r="G168" s="14"/>
      <c r="H168" s="14"/>
    </row>
    <row r="169" spans="2:8" ht="16" hidden="1" outlineLevel="1" thickBot="1">
      <c r="B169"/>
      <c r="C169"/>
      <c r="D169"/>
      <c r="E169" s="3"/>
      <c r="F169" s="14"/>
      <c r="G169" s="14"/>
      <c r="H169" s="14"/>
    </row>
    <row r="170" spans="2:8" ht="24" hidden="1" outlineLevel="1" thickBot="1">
      <c r="B170" s="590" t="s">
        <v>373</v>
      </c>
      <c r="C170" s="591"/>
      <c r="D170" s="591"/>
      <c r="E170" s="591"/>
      <c r="F170" s="14"/>
      <c r="G170" s="14"/>
      <c r="H170" s="14"/>
    </row>
    <row r="171" spans="2:8" hidden="1" outlineLevel="1">
      <c r="B171"/>
      <c r="C171"/>
      <c r="D171"/>
      <c r="E171" s="3"/>
      <c r="F171" s="14"/>
      <c r="G171" s="14"/>
      <c r="H171" s="14"/>
    </row>
    <row r="172" spans="2:8" hidden="1" outlineLevel="1">
      <c r="B172"/>
      <c r="C172"/>
      <c r="D172"/>
      <c r="E172" s="3"/>
      <c r="F172" s="14"/>
      <c r="G172" s="14"/>
      <c r="H172" s="14"/>
    </row>
    <row r="173" spans="2:8" ht="21" hidden="1" outlineLevel="1">
      <c r="B173" s="1208" t="s">
        <v>221</v>
      </c>
      <c r="C173" s="1209"/>
      <c r="D173" s="1209"/>
      <c r="E173" s="593"/>
      <c r="F173" s="14"/>
      <c r="G173" s="14"/>
      <c r="H173" s="14"/>
    </row>
    <row r="174" spans="2:8" hidden="1" outlineLevel="1">
      <c r="B174" s="1202" t="s">
        <v>77</v>
      </c>
      <c r="C174" s="1202"/>
      <c r="D174" s="1202"/>
      <c r="E174" s="594">
        <f>IFERROR((IF(D161-D185&lt;0,0,D161-D185)),0)</f>
        <v>0</v>
      </c>
      <c r="F174" s="14"/>
      <c r="G174" s="14"/>
      <c r="H174" s="14"/>
    </row>
    <row r="175" spans="2:8" hidden="1" outlineLevel="1">
      <c r="B175" s="1202" t="s">
        <v>78</v>
      </c>
      <c r="C175" s="1202"/>
      <c r="D175" s="1202"/>
      <c r="E175" s="594">
        <f>IFERROR(ROUND(('A2.Allocation &amp; Operating Plan'!G23-E187),0),0)</f>
        <v>0</v>
      </c>
      <c r="F175" s="14"/>
      <c r="G175" s="14"/>
      <c r="H175" s="14"/>
    </row>
    <row r="176" spans="2:8" hidden="1" outlineLevel="1">
      <c r="B176" s="1202" t="s">
        <v>218</v>
      </c>
      <c r="C176" s="1202"/>
      <c r="D176" s="1202"/>
      <c r="E176" s="594">
        <f>IFERROR((IF(C196&lt;C195,0,C196-C195)),0)</f>
        <v>0</v>
      </c>
      <c r="F176" s="14"/>
      <c r="G176" s="14"/>
      <c r="H176" s="14"/>
    </row>
    <row r="177" spans="2:8" hidden="1" outlineLevel="1">
      <c r="B177" s="1203" t="s">
        <v>79</v>
      </c>
      <c r="C177" s="1203"/>
      <c r="D177" s="1203"/>
      <c r="E177" s="597">
        <f>SUM(E174:E176)</f>
        <v>0</v>
      </c>
      <c r="F177" s="14"/>
      <c r="G177" s="14"/>
      <c r="H177" s="14"/>
    </row>
    <row r="178" spans="2:8" ht="16" hidden="1" outlineLevel="1" thickBot="1">
      <c r="B178"/>
      <c r="C178"/>
      <c r="D178"/>
      <c r="E178"/>
      <c r="F178" s="14"/>
      <c r="G178" s="14"/>
      <c r="H178" s="14"/>
    </row>
    <row r="179" spans="2:8" ht="21" hidden="1" outlineLevel="1">
      <c r="B179" s="598" t="s">
        <v>238</v>
      </c>
      <c r="C179" s="599"/>
      <c r="D179" s="599"/>
      <c r="E179" s="600"/>
      <c r="F179" s="14"/>
      <c r="G179" s="14"/>
      <c r="H179" s="14"/>
    </row>
    <row r="180" spans="2:8" ht="16" hidden="1" outlineLevel="1" thickBot="1">
      <c r="B180" s="78" t="s">
        <v>80</v>
      </c>
      <c r="C180"/>
      <c r="D180"/>
      <c r="E180" s="56"/>
      <c r="F180" s="14"/>
      <c r="G180" s="14"/>
      <c r="H180" s="14"/>
    </row>
    <row r="181" spans="2:8" ht="16" hidden="1" outlineLevel="1" thickBot="1">
      <c r="B181" s="601" t="s">
        <v>361</v>
      </c>
      <c r="C181" s="602"/>
      <c r="D181" s="602"/>
      <c r="E181" s="603">
        <f>IFERROR('A2.Allocation &amp; Operating Plan'!G24,0)</f>
        <v>0</v>
      </c>
      <c r="F181" s="14"/>
      <c r="G181" s="14"/>
      <c r="H181" s="14"/>
    </row>
    <row r="182" spans="2:8" ht="16" hidden="1" outlineLevel="1" thickTop="1">
      <c r="B182" s="604"/>
      <c r="C182" s="605"/>
      <c r="D182" s="606"/>
      <c r="E182" s="607"/>
      <c r="F182" s="14"/>
      <c r="G182" s="14"/>
      <c r="H182" s="14"/>
    </row>
    <row r="183" spans="2:8" ht="31" hidden="1" outlineLevel="1">
      <c r="B183" s="608" t="s">
        <v>435</v>
      </c>
      <c r="C183" s="609"/>
      <c r="D183" s="609"/>
      <c r="E183" s="610">
        <f>IFERROR(MIN(D185,D186),0)</f>
        <v>0</v>
      </c>
      <c r="F183" s="14"/>
      <c r="G183" s="14"/>
      <c r="H183" s="14"/>
    </row>
    <row r="184" spans="2:8" hidden="1" outlineLevel="1">
      <c r="B184" s="611" t="s">
        <v>81</v>
      </c>
      <c r="C184"/>
      <c r="D184" s="612"/>
      <c r="E184" s="613"/>
      <c r="F184" s="14"/>
      <c r="G184" s="14"/>
      <c r="H184" s="14"/>
    </row>
    <row r="185" spans="2:8" hidden="1" outlineLevel="1">
      <c r="B185" s="614" t="s">
        <v>465</v>
      </c>
      <c r="C185"/>
      <c r="D185" s="612">
        <f>D159</f>
        <v>0</v>
      </c>
      <c r="E185" s="615"/>
      <c r="F185" s="14"/>
      <c r="G185" s="14"/>
      <c r="H185" s="14"/>
    </row>
    <row r="186" spans="2:8" ht="16" hidden="1" outlineLevel="1" thickBot="1">
      <c r="B186" s="616" t="s">
        <v>362</v>
      </c>
      <c r="C186" s="617"/>
      <c r="D186" s="618">
        <f>D161</f>
        <v>0</v>
      </c>
      <c r="E186" s="619"/>
      <c r="F186" s="14"/>
      <c r="G186" s="14"/>
      <c r="H186" s="14"/>
    </row>
    <row r="187" spans="2:8" ht="16" hidden="1" outlineLevel="1" thickTop="1">
      <c r="B187" s="620" t="s">
        <v>436</v>
      </c>
      <c r="C187" s="621"/>
      <c r="D187" s="622"/>
      <c r="E187" s="623">
        <f>ROUND(IF((D188+D191+D192)&gt;'A2.Allocation &amp; Operating Plan'!G23,'A2.Allocation &amp; Operating Plan'!G23,D188+D191+D192),0)</f>
        <v>0</v>
      </c>
      <c r="F187" s="14"/>
      <c r="G187" s="14"/>
      <c r="H187" s="14"/>
    </row>
    <row r="188" spans="2:8" hidden="1" outlineLevel="1">
      <c r="B188" s="624" t="s">
        <v>363</v>
      </c>
      <c r="C188"/>
      <c r="D188" s="612">
        <f>IFERROR(0.0425*E183,0)</f>
        <v>0</v>
      </c>
      <c r="E188" s="625"/>
      <c r="F188" s="14"/>
      <c r="G188" s="14"/>
      <c r="H188" s="14"/>
    </row>
    <row r="189" spans="2:8" hidden="1" outlineLevel="1">
      <c r="B189" s="626" t="s">
        <v>82</v>
      </c>
      <c r="C189"/>
      <c r="D189" s="612"/>
      <c r="E189" s="625"/>
      <c r="F189" s="14"/>
      <c r="G189" s="14"/>
      <c r="H189" s="14"/>
    </row>
    <row r="190" spans="2:8" hidden="1" outlineLevel="1">
      <c r="B190" s="627" t="s">
        <v>364</v>
      </c>
      <c r="C190" s="612">
        <f>IFERROR(E183,0)</f>
        <v>0</v>
      </c>
      <c r="D190" s="612"/>
      <c r="E190" s="56"/>
      <c r="F190" s="14"/>
      <c r="G190" s="14"/>
      <c r="H190" s="14"/>
    </row>
    <row r="191" spans="2:8" hidden="1" outlineLevel="1">
      <c r="B191" s="627" t="s">
        <v>83</v>
      </c>
      <c r="C191" s="612">
        <f>IFERROR(SUM('A2.Allocation &amp; Operating Plan'!G13:G17),0)</f>
        <v>0</v>
      </c>
      <c r="D191" s="612">
        <f>IFERROR(0.035*MIN(C190,C191),0)</f>
        <v>0</v>
      </c>
      <c r="E191" s="56"/>
      <c r="F191" s="14"/>
      <c r="G191" s="14"/>
      <c r="H191" s="14"/>
    </row>
    <row r="192" spans="2:8" ht="16" hidden="1" outlineLevel="1" thickBot="1">
      <c r="B192" s="628" t="str">
        <f>"iii. Add - $"&amp;D192&amp; " per site"</f>
        <v>iii. Add - $0 per site</v>
      </c>
      <c r="C192" s="629"/>
      <c r="D192" s="618">
        <f>IF(SUM('A2.Allocation &amp; Operating Plan'!C85:G85)=0, 0, IF('A2.Allocation &amp; Operating Plan'!I81=0, 6000, 6000/12*'A2.Allocation &amp; Operating Plan'!I81))</f>
        <v>0</v>
      </c>
      <c r="E192" s="630"/>
      <c r="F192" s="14"/>
      <c r="G192" s="14"/>
      <c r="H192" s="14"/>
    </row>
    <row r="193" spans="2:8" ht="16" hidden="1" outlineLevel="1" thickTop="1">
      <c r="B193" s="620" t="s">
        <v>437</v>
      </c>
      <c r="C193" s="631"/>
      <c r="D193" s="631"/>
      <c r="E193" s="623">
        <f>-IFERROR(MAX(C195,C196),0)</f>
        <v>0</v>
      </c>
      <c r="F193" s="14"/>
      <c r="G193" s="14"/>
      <c r="H193" s="14"/>
    </row>
    <row r="194" spans="2:8" hidden="1" outlineLevel="1">
      <c r="B194" s="632" t="s">
        <v>84</v>
      </c>
      <c r="C194"/>
      <c r="D194" s="605"/>
      <c r="E194" s="633"/>
      <c r="F194" s="14"/>
      <c r="G194" s="14"/>
      <c r="H194" s="14"/>
    </row>
    <row r="195" spans="2:8" hidden="1" outlineLevel="1">
      <c r="B195" s="624" t="s">
        <v>365</v>
      </c>
      <c r="C195" s="612">
        <f>-IFERROR('A2.Allocation &amp; Operating Plan'!G21,0)</f>
        <v>0</v>
      </c>
      <c r="D195" s="605"/>
      <c r="E195" s="633"/>
    </row>
    <row r="196" spans="2:8" ht="16" hidden="1" outlineLevel="1" thickBot="1">
      <c r="B196" s="634" t="s">
        <v>366</v>
      </c>
      <c r="C196" s="618">
        <f>-D139</f>
        <v>0</v>
      </c>
      <c r="D196" s="635"/>
      <c r="E196" s="636"/>
    </row>
    <row r="197" spans="2:8" ht="16.5" hidden="1" outlineLevel="1" thickTop="1" thickBot="1">
      <c r="B197" s="637" t="s">
        <v>219</v>
      </c>
      <c r="C197" s="638"/>
      <c r="D197" s="639"/>
      <c r="E197" s="640">
        <f>IFERROR(E183+E187+E193,0)</f>
        <v>0</v>
      </c>
    </row>
    <row r="198" spans="2:8" ht="16" hidden="1" outlineLevel="1" thickBot="1">
      <c r="B198" s="641"/>
      <c r="C198" s="641"/>
      <c r="D198" s="641"/>
      <c r="E198" s="642"/>
    </row>
    <row r="199" spans="2:8" ht="19" hidden="1" outlineLevel="1" thickBot="1">
      <c r="B199" s="643" t="s">
        <v>220</v>
      </c>
      <c r="C199" s="644"/>
      <c r="D199" s="644"/>
      <c r="E199" s="645">
        <f>IF(E197&lt;0,0,E181-E197)</f>
        <v>0</v>
      </c>
    </row>
    <row r="200" spans="2:8" hidden="1" collapsed="1"/>
  </sheetData>
  <sheetProtection algorithmName="SHA-512" hashValue="ewQyuaxWWOcTv8Ow5D8wtyQUpeOknridcdAUNG9ijsLV+OOTcaYphUN2v8pdhfJrjdtGu5m4Lt4uuHSPNXrWjQ==" saltValue="D48ABwUb30UUWLpVjXa8Ig==" spinCount="100000" sheet="1"/>
  <protectedRanges>
    <protectedRange sqref="B78 B74 B69 B60 F72:F75 D109:F109 F119:F121 E34:F34 F114:F117 F104:F108 B108:B109 F24:F29 F18:F21 B99:B101 F81:F102 F77:F79 D122:F122 F63:F69 D37:F37 D45:F45 F38:F44 D53:F53 F46:F52 F54:F60" name="allow"/>
    <protectedRange sqref="B28:B29" name="allow_1"/>
    <protectedRange sqref="D18:E19" name="allow_5"/>
    <protectedRange sqref="F22:F23" name="allow_5_1"/>
    <protectedRange sqref="D28:E29 D24:D26 E24:E27 D20:E23" name="allow_5_1_1"/>
    <protectedRange sqref="D38:E44" name="allow_2"/>
    <protectedRange sqref="D46:E52" name="allow_3"/>
    <protectedRange sqref="D54:E60" name="allow_4"/>
    <protectedRange sqref="D63:E69" name="allow_6"/>
    <protectedRange sqref="D72:D74" name="allow_7"/>
    <protectedRange sqref="D77:E78" name="allow_8"/>
    <protectedRange sqref="D81:E101 E105:E108" name="allow_9"/>
    <protectedRange sqref="D105:D108" name="allow_10"/>
    <protectedRange sqref="D114:D116" name="allow_11"/>
    <protectedRange sqref="D119:D121" name="allow_12"/>
    <protectedRange sqref="E72:E74" name="allow_10_1"/>
  </protectedRanges>
  <mergeCells count="22">
    <mergeCell ref="B134:C134"/>
    <mergeCell ref="B1:F1"/>
    <mergeCell ref="B2:F2"/>
    <mergeCell ref="B3:G3"/>
    <mergeCell ref="H9:I12"/>
    <mergeCell ref="E15:F15"/>
    <mergeCell ref="H18:H19"/>
    <mergeCell ref="H34:H35"/>
    <mergeCell ref="B129:E129"/>
    <mergeCell ref="B131:C131"/>
    <mergeCell ref="B132:C132"/>
    <mergeCell ref="B133:C133"/>
    <mergeCell ref="B174:D174"/>
    <mergeCell ref="B175:D175"/>
    <mergeCell ref="B176:D176"/>
    <mergeCell ref="B177:D177"/>
    <mergeCell ref="B136:C136"/>
    <mergeCell ref="B137:C137"/>
    <mergeCell ref="B138:C138"/>
    <mergeCell ref="B139:C139"/>
    <mergeCell ref="B141:C141"/>
    <mergeCell ref="B173:D173"/>
  </mergeCells>
  <conditionalFormatting sqref="E15">
    <cfRule type="cellIs" dxfId="84" priority="8" operator="notEqual">
      <formula>""</formula>
    </cfRule>
  </conditionalFormatting>
  <conditionalFormatting sqref="F7:F14">
    <cfRule type="cellIs" dxfId="83" priority="3" operator="notEqual">
      <formula>""</formula>
    </cfRule>
  </conditionalFormatting>
  <conditionalFormatting sqref="G18">
    <cfRule type="expression" priority="11">
      <formula>"if($D$17&gt;1 and $E$17 = 0,""red"",blue"")"</formula>
    </cfRule>
  </conditionalFormatting>
  <conditionalFormatting sqref="G38:G44 G46:G52 G54:G60">
    <cfRule type="expression" dxfId="82" priority="10">
      <formula>AND(ISNUMBER(D38), E38="")</formula>
    </cfRule>
  </conditionalFormatting>
  <conditionalFormatting sqref="G63:G69">
    <cfRule type="expression" dxfId="81" priority="9">
      <formula>AND(ISNUMBER(D63), E63="")</formula>
    </cfRule>
  </conditionalFormatting>
  <conditionalFormatting sqref="H13:H15">
    <cfRule type="cellIs" dxfId="80" priority="7" operator="notEqual">
      <formula>""</formula>
    </cfRule>
  </conditionalFormatting>
  <dataValidations xWindow="1057" yWindow="441" count="6">
    <dataValidation type="list" allowBlank="1" showInputMessage="1" showErrorMessage="1" sqref="F14" xr:uid="{BA69624F-F605-4AA1-9585-B11E8441B1C6}">
      <formula1>$XEM$9:$XEM$10</formula1>
    </dataValidation>
    <dataValidation type="list" allowBlank="1" showInputMessage="1" showErrorMessage="1" sqref="F13" xr:uid="{968903DB-F314-4D12-AA8F-AD3AECF83EE9}">
      <formula1>$XEK$9:$XEK$12</formula1>
    </dataValidation>
    <dataValidation type="list" allowBlank="1" showInputMessage="1" showErrorMessage="1" sqref="F12" xr:uid="{C8B258FC-A9FB-436E-9A61-EBCC2897498D}">
      <formula1>$XEI$9:$XEI$11</formula1>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1" xr:uid="{B6DD15DA-1E61-45C2-9C71-6E5EBC9AEDA0}">
      <formula1>0</formula1>
      <formula2>365</formula2>
    </dataValidation>
    <dataValidation type="decimal" allowBlank="1" showInputMessage="1" showErrorMessage="1" sqref="F54:F60 F38:F44 F46:F52" xr:uid="{C9791CED-C3DA-41F2-ADA2-14F73241D2A4}">
      <formula1>0</formula1>
      <formula2>1000000000000000000</formula2>
    </dataValidation>
    <dataValidation type="list" allowBlank="1" showInputMessage="1" showErrorMessage="1" sqref="E15:F15" xr:uid="{0F26E71F-F6F2-4664-8C05-80663D9A5861}">
      <formula1>$XEN$9:$XEN$13</formula1>
    </dataValidation>
  </dataValidations>
  <pageMargins left="0.7" right="0.7" top="0.75" bottom="0.75" header="0.3" footer="0.3"/>
  <pageSetup scale="54" orientation="landscape" r:id="rId1"/>
  <legacy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67FB8-5594-44A7-8E6E-07B4099EFB42}">
  <sheetPr>
    <tabColor rgb="FFFFC000"/>
  </sheetPr>
  <dimension ref="A1:V97"/>
  <sheetViews>
    <sheetView showGridLines="0" zoomScale="70" zoomScaleNormal="70" workbookViewId="0">
      <selection activeCell="F73" sqref="F73"/>
    </sheetView>
  </sheetViews>
  <sheetFormatPr defaultColWidth="9.1796875" defaultRowHeight="14.5"/>
  <cols>
    <col min="3" max="3" width="95.26953125" bestFit="1" customWidth="1"/>
    <col min="4" max="4" width="6.7265625" bestFit="1" customWidth="1"/>
    <col min="5" max="5" width="8.26953125" customWidth="1"/>
    <col min="6" max="6" width="31.1796875" customWidth="1"/>
    <col min="7" max="7" width="2.54296875" customWidth="1"/>
    <col min="8" max="8" width="6.54296875" customWidth="1"/>
    <col min="9" max="9" width="27.453125" customWidth="1"/>
    <col min="11" max="11" width="17.7265625" customWidth="1"/>
    <col min="12" max="12" width="11.1796875" customWidth="1"/>
  </cols>
  <sheetData>
    <row r="1" spans="1:12" ht="26">
      <c r="A1" s="1210" t="s">
        <v>734</v>
      </c>
      <c r="B1" s="1210"/>
      <c r="C1" s="1210"/>
      <c r="D1" s="1210"/>
      <c r="E1" s="1210"/>
      <c r="F1" s="1210"/>
      <c r="G1" s="1210"/>
      <c r="H1" s="1210"/>
      <c r="I1" s="1210"/>
      <c r="K1" s="109" t="s">
        <v>109</v>
      </c>
      <c r="L1" s="110" t="str">
        <f>IF('A1. Identification'!$D$13=0, " ",'A1. Identification'!$D$13)</f>
        <v xml:space="preserve"> </v>
      </c>
    </row>
    <row r="2" spans="1:12" ht="17.25" customHeight="1">
      <c r="K2" s="109" t="s">
        <v>301</v>
      </c>
      <c r="L2" s="889">
        <f>'A6c. Operations-Site 3'!L2</f>
        <v>0</v>
      </c>
    </row>
    <row r="3" spans="1:12" ht="22.5">
      <c r="A3" s="122" t="s">
        <v>487</v>
      </c>
      <c r="B3" s="123"/>
      <c r="C3" s="124"/>
      <c r="D3" s="124"/>
      <c r="E3" s="124"/>
      <c r="F3" s="125"/>
      <c r="G3" s="125"/>
      <c r="H3" s="125"/>
      <c r="I3" s="126"/>
    </row>
    <row r="4" spans="1:12" ht="20">
      <c r="A4" s="752"/>
      <c r="B4" s="127"/>
      <c r="C4" s="753"/>
      <c r="D4" s="753"/>
      <c r="E4" s="753"/>
      <c r="F4" s="128"/>
      <c r="G4" s="129"/>
      <c r="H4" s="129"/>
    </row>
    <row r="5" spans="1:12" ht="15.5">
      <c r="A5" s="127"/>
      <c r="B5" s="127"/>
      <c r="C5" s="754"/>
      <c r="D5" s="754"/>
      <c r="E5" s="754"/>
      <c r="F5" s="130"/>
      <c r="G5" s="131"/>
      <c r="H5" s="131"/>
      <c r="I5" s="1"/>
    </row>
    <row r="6" spans="1:12" ht="17.5">
      <c r="A6" s="1"/>
      <c r="B6" s="132" t="s">
        <v>488</v>
      </c>
      <c r="C6" s="133"/>
      <c r="D6" s="133"/>
      <c r="E6" s="133"/>
      <c r="F6" s="130"/>
      <c r="G6" s="131"/>
      <c r="H6" s="131"/>
      <c r="I6" s="1"/>
    </row>
    <row r="7" spans="1:12" ht="15.5">
      <c r="A7" s="1"/>
      <c r="B7" s="755" t="s">
        <v>489</v>
      </c>
      <c r="C7" s="133"/>
      <c r="D7" s="133"/>
      <c r="E7" s="133"/>
      <c r="F7" s="130"/>
      <c r="G7" s="131"/>
      <c r="H7" s="131"/>
      <c r="I7" s="1"/>
    </row>
    <row r="8" spans="1:12" ht="15.5">
      <c r="A8" s="134"/>
      <c r="B8" s="134"/>
      <c r="C8" s="135" t="s">
        <v>490</v>
      </c>
      <c r="D8" s="136"/>
      <c r="E8" s="137" t="s">
        <v>491</v>
      </c>
      <c r="F8" s="756">
        <f>'A6c. Operations-Site 3'!F7</f>
        <v>0</v>
      </c>
      <c r="G8" s="138"/>
      <c r="H8" s="138"/>
      <c r="I8" s="1"/>
    </row>
    <row r="9" spans="1:12" ht="15">
      <c r="A9" s="134"/>
      <c r="B9" s="134"/>
      <c r="C9" s="135" t="s">
        <v>492</v>
      </c>
      <c r="D9" s="134"/>
      <c r="E9" s="137" t="s">
        <v>493</v>
      </c>
      <c r="F9" s="881">
        <f>'A1. Identification'!D6</f>
        <v>0</v>
      </c>
      <c r="G9" s="138"/>
      <c r="H9" s="138"/>
      <c r="I9" s="134"/>
    </row>
    <row r="10" spans="1:12" ht="15">
      <c r="A10" s="134"/>
      <c r="B10" s="134"/>
      <c r="C10" s="135" t="s">
        <v>494</v>
      </c>
      <c r="D10" s="136"/>
      <c r="E10" s="137" t="s">
        <v>495</v>
      </c>
      <c r="F10" s="757">
        <f>'A6c. Operations-Site 3'!F8</f>
        <v>0</v>
      </c>
      <c r="G10" s="138"/>
      <c r="H10" s="138"/>
      <c r="I10" s="134"/>
    </row>
    <row r="11" spans="1:12" ht="15">
      <c r="A11" s="134"/>
      <c r="B11" s="134"/>
      <c r="C11" s="135" t="s">
        <v>496</v>
      </c>
      <c r="D11" s="136"/>
      <c r="E11" s="137" t="s">
        <v>497</v>
      </c>
      <c r="F11" s="758">
        <f>'A6c. Operations-Site 3'!F9</f>
        <v>0</v>
      </c>
      <c r="G11" s="139"/>
      <c r="H11" s="139"/>
      <c r="I11" s="279"/>
    </row>
    <row r="12" spans="1:12" ht="15.5">
      <c r="A12" s="134"/>
      <c r="B12" s="134"/>
      <c r="C12" s="135" t="s">
        <v>498</v>
      </c>
      <c r="D12" s="136"/>
      <c r="E12" s="136"/>
      <c r="F12" s="759" t="s">
        <v>726</v>
      </c>
      <c r="G12" s="141"/>
      <c r="H12" s="270"/>
      <c r="I12" s="1"/>
    </row>
    <row r="13" spans="1:12" ht="15.5">
      <c r="A13" s="134"/>
      <c r="B13" s="134"/>
      <c r="C13" s="760" t="s">
        <v>499</v>
      </c>
      <c r="D13" s="136"/>
      <c r="E13" s="137" t="s">
        <v>500</v>
      </c>
      <c r="F13" s="269">
        <v>232</v>
      </c>
      <c r="G13" s="142"/>
      <c r="H13" s="142"/>
      <c r="I13" s="1"/>
    </row>
    <row r="14" spans="1:12" ht="15.5">
      <c r="A14" s="134"/>
      <c r="B14" s="134"/>
      <c r="C14" s="135" t="s">
        <v>501</v>
      </c>
      <c r="D14" s="136"/>
      <c r="E14" s="137" t="s">
        <v>502</v>
      </c>
      <c r="F14" s="143">
        <v>2025</v>
      </c>
      <c r="G14" s="144"/>
      <c r="H14" s="144"/>
      <c r="I14" s="1"/>
    </row>
    <row r="15" spans="1:12" ht="15">
      <c r="A15" s="134"/>
      <c r="B15" s="761"/>
      <c r="C15" s="136"/>
      <c r="D15" s="136"/>
      <c r="E15" s="136"/>
      <c r="F15" s="761"/>
      <c r="G15" s="761"/>
      <c r="H15" s="761"/>
      <c r="I15" s="134"/>
    </row>
    <row r="16" spans="1:12" ht="17.5">
      <c r="A16" s="134"/>
      <c r="B16" s="132" t="s">
        <v>503</v>
      </c>
      <c r="C16" s="136"/>
      <c r="D16" s="136"/>
      <c r="E16" s="136"/>
      <c r="F16" s="761"/>
      <c r="G16" s="761"/>
      <c r="H16" s="761"/>
      <c r="I16" s="134"/>
    </row>
    <row r="17" spans="1:9" ht="15">
      <c r="A17" s="134"/>
      <c r="B17" s="755" t="s">
        <v>504</v>
      </c>
      <c r="C17" s="136"/>
      <c r="D17" s="136"/>
      <c r="E17" s="136"/>
      <c r="F17" s="761"/>
      <c r="G17" s="761"/>
      <c r="H17" s="761"/>
      <c r="I17" s="761"/>
    </row>
    <row r="18" spans="1:9" ht="15.5">
      <c r="A18" s="1"/>
      <c r="B18" s="1"/>
      <c r="C18" s="1" t="s">
        <v>505</v>
      </c>
      <c r="D18" s="133"/>
      <c r="E18" s="137" t="s">
        <v>506</v>
      </c>
      <c r="F18" s="762">
        <f>'A6c. Operations-Site 3'!F11</f>
        <v>0</v>
      </c>
      <c r="G18" s="145"/>
      <c r="H18" s="145"/>
      <c r="I18" s="279"/>
    </row>
    <row r="19" spans="1:9" ht="15.5">
      <c r="A19" s="1"/>
      <c r="B19" s="1"/>
      <c r="C19" s="133"/>
      <c r="D19" s="133"/>
      <c r="E19" s="133"/>
      <c r="F19" s="130"/>
      <c r="G19" s="131"/>
      <c r="H19" s="131"/>
      <c r="I19" s="1"/>
    </row>
    <row r="20" spans="1:9" ht="60" customHeight="1">
      <c r="A20" s="1"/>
      <c r="B20" s="763"/>
      <c r="C20" s="763"/>
      <c r="F20" s="764" t="s">
        <v>507</v>
      </c>
      <c r="H20" s="764"/>
      <c r="I20" s="764" t="s">
        <v>508</v>
      </c>
    </row>
    <row r="21" spans="1:9" ht="15.5">
      <c r="A21" s="1"/>
      <c r="C21" s="765" t="s">
        <v>509</v>
      </c>
      <c r="E21" s="766" t="s">
        <v>510</v>
      </c>
      <c r="F21" s="767">
        <f>('A2.Allocation &amp; Operating Plan'!C83+'A2.Allocation &amp; Operating Plan'!C84)*'A2.Allocation &amp; Operating Plan'!C85</f>
        <v>0</v>
      </c>
      <c r="H21" s="766" t="s">
        <v>511</v>
      </c>
      <c r="I21" s="767">
        <f>+'A2.Allocation &amp; Operating Plan'!C85*'A2.Allocation &amp; Operating Plan'!C87</f>
        <v>0</v>
      </c>
    </row>
    <row r="22" spans="1:9" ht="15.5">
      <c r="A22" s="1"/>
      <c r="C22" s="765" t="s">
        <v>512</v>
      </c>
      <c r="E22" s="766" t="s">
        <v>513</v>
      </c>
      <c r="F22" s="767">
        <f>('A2.Allocation &amp; Operating Plan'!D83+'A2.Allocation &amp; Operating Plan'!D84)*'A2.Allocation &amp; Operating Plan'!D85</f>
        <v>0</v>
      </c>
      <c r="H22" s="766" t="s">
        <v>514</v>
      </c>
      <c r="I22" s="767">
        <f>+'A2.Allocation &amp; Operating Plan'!D85*'A2.Allocation &amp; Operating Plan'!D87</f>
        <v>0</v>
      </c>
    </row>
    <row r="23" spans="1:9" ht="30">
      <c r="A23" s="1"/>
      <c r="C23" s="765" t="s">
        <v>4</v>
      </c>
      <c r="E23" s="766" t="s">
        <v>515</v>
      </c>
      <c r="F23" s="767">
        <f>('A2.Allocation &amp; Operating Plan'!E83+'A2.Allocation &amp; Operating Plan'!E84)*'A2.Allocation &amp; Operating Plan'!E85</f>
        <v>0</v>
      </c>
      <c r="H23" s="766" t="s">
        <v>516</v>
      </c>
      <c r="I23" s="767">
        <f>'A2.Allocation &amp; Operating Plan'!E85*'A2.Allocation &amp; Operating Plan'!E87</f>
        <v>0</v>
      </c>
    </row>
    <row r="24" spans="1:9" ht="30">
      <c r="A24" s="1"/>
      <c r="C24" s="765" t="s">
        <v>517</v>
      </c>
      <c r="E24" s="766" t="s">
        <v>518</v>
      </c>
      <c r="F24" s="767">
        <f>('A2.Allocation &amp; Operating Plan'!F83+'A2.Allocation &amp; Operating Plan'!F84)*'A2.Allocation &amp; Operating Plan'!F85</f>
        <v>0</v>
      </c>
      <c r="H24" s="766" t="s">
        <v>519</v>
      </c>
      <c r="I24" s="767">
        <f>'A2.Allocation &amp; Operating Plan'!F85*'A2.Allocation &amp; Operating Plan'!F87</f>
        <v>0</v>
      </c>
    </row>
    <row r="25" spans="1:9" ht="30">
      <c r="A25" s="127"/>
      <c r="C25" s="765" t="s">
        <v>520</v>
      </c>
      <c r="E25" s="766" t="s">
        <v>521</v>
      </c>
      <c r="F25" s="767">
        <f>('A2.Allocation &amp; Operating Plan'!G83+'A2.Allocation &amp; Operating Plan'!G84)*'A2.Allocation &amp; Operating Plan'!G85</f>
        <v>0</v>
      </c>
      <c r="H25" s="766" t="s">
        <v>522</v>
      </c>
      <c r="I25" s="767">
        <f>'A2.Allocation &amp; Operating Plan'!G85*'A2.Allocation &amp; Operating Plan'!G87</f>
        <v>0</v>
      </c>
    </row>
    <row r="26" spans="1:9" ht="30">
      <c r="A26" s="127"/>
      <c r="C26" s="765" t="s">
        <v>523</v>
      </c>
      <c r="E26" s="766" t="s">
        <v>524</v>
      </c>
      <c r="F26" s="767">
        <f>(('A2.Allocation &amp; Operating Plan'!H83+'A2.Allocation &amp; Operating Plan'!H84)*'A2.Allocation &amp; Operating Plan'!H85)+(('A2.Allocation &amp; Operating Plan'!I83+'A2.Allocation &amp; Operating Plan'!I84)*'A2.Allocation &amp; Operating Plan'!I85)</f>
        <v>0</v>
      </c>
      <c r="H26" s="766" t="s">
        <v>525</v>
      </c>
      <c r="I26" s="767">
        <f>('A2.Allocation &amp; Operating Plan'!H85*'A2.Allocation &amp; Operating Plan'!H87)+('A2.Allocation &amp; Operating Plan'!I85*'A2.Allocation &amp; Operating Plan'!I87)</f>
        <v>0</v>
      </c>
    </row>
    <row r="27" spans="1:9" ht="15.5">
      <c r="A27" s="127"/>
      <c r="C27" s="768" t="s">
        <v>87</v>
      </c>
      <c r="F27" s="147">
        <f>+SUM(F21:F26)</f>
        <v>0</v>
      </c>
      <c r="H27" s="146"/>
      <c r="I27" s="147">
        <f>+SUM(I21:I26)</f>
        <v>0</v>
      </c>
    </row>
    <row r="29" spans="1:9" ht="17.5">
      <c r="B29" s="769" t="s">
        <v>526</v>
      </c>
      <c r="C29" s="148"/>
      <c r="D29" s="148"/>
      <c r="E29" s="148"/>
      <c r="F29" s="149"/>
      <c r="G29" s="149"/>
      <c r="H29" s="149"/>
      <c r="I29" s="1"/>
    </row>
    <row r="30" spans="1:9" ht="17.5">
      <c r="B30" s="770" t="s">
        <v>527</v>
      </c>
      <c r="C30" s="148"/>
      <c r="D30" s="148"/>
      <c r="E30" s="148"/>
      <c r="F30" s="149"/>
      <c r="G30" s="150"/>
      <c r="H30" s="150"/>
      <c r="I30" s="1"/>
    </row>
    <row r="31" spans="1:9" ht="15.5">
      <c r="B31" s="755" t="s">
        <v>528</v>
      </c>
      <c r="C31" s="1"/>
      <c r="D31" s="1"/>
      <c r="E31" s="1"/>
      <c r="F31" s="1"/>
      <c r="G31" s="1"/>
      <c r="H31" s="1"/>
      <c r="I31" s="1"/>
    </row>
    <row r="32" spans="1:9" ht="15.5">
      <c r="B32" s="151"/>
      <c r="C32" s="1" t="s">
        <v>529</v>
      </c>
      <c r="D32" s="1"/>
      <c r="E32" s="152" t="s">
        <v>530</v>
      </c>
      <c r="F32" s="771">
        <f>'A6c. Operations-Site 3'!E20</f>
        <v>0</v>
      </c>
      <c r="G32" s="153"/>
      <c r="H32" s="153"/>
      <c r="I32" s="279"/>
    </row>
    <row r="33" spans="2:22" ht="15.5">
      <c r="B33" s="772"/>
      <c r="C33" s="1" t="s">
        <v>531</v>
      </c>
      <c r="D33" s="1"/>
      <c r="E33" s="152" t="s">
        <v>532</v>
      </c>
      <c r="F33" s="771">
        <f>'A6c. Operations-Site 3'!E21+'A6c. Operations-Site 3'!E24</f>
        <v>0</v>
      </c>
      <c r="G33" s="153"/>
      <c r="H33" s="153"/>
      <c r="I33" s="140"/>
    </row>
    <row r="34" spans="2:22" ht="15.5">
      <c r="B34" s="1"/>
      <c r="C34" s="133"/>
      <c r="D34" s="133"/>
      <c r="E34" s="133"/>
      <c r="F34" s="154"/>
      <c r="G34" s="155"/>
      <c r="H34" s="155"/>
      <c r="I34" s="156"/>
    </row>
    <row r="35" spans="2:22" ht="17.5">
      <c r="B35" s="769" t="s">
        <v>533</v>
      </c>
      <c r="C35" s="133"/>
      <c r="D35" s="133"/>
      <c r="E35" s="133"/>
      <c r="F35" s="149"/>
      <c r="G35" s="150"/>
      <c r="H35" s="150"/>
      <c r="I35" s="773"/>
    </row>
    <row r="36" spans="2:22" ht="15.5">
      <c r="B36" s="755" t="s">
        <v>534</v>
      </c>
      <c r="C36" s="133"/>
      <c r="D36" s="133"/>
      <c r="E36" s="133"/>
      <c r="F36" s="149"/>
      <c r="G36" s="150"/>
      <c r="H36" s="150"/>
      <c r="I36" s="773"/>
    </row>
    <row r="37" spans="2:22" ht="15.5">
      <c r="B37" s="755" t="s">
        <v>535</v>
      </c>
      <c r="C37" s="133"/>
      <c r="D37" s="133"/>
      <c r="E37" s="133"/>
      <c r="F37" s="149"/>
      <c r="G37" s="150"/>
      <c r="H37" s="150"/>
      <c r="I37" s="773"/>
    </row>
    <row r="38" spans="2:22" ht="15.5">
      <c r="B38" s="157"/>
      <c r="C38" s="133"/>
      <c r="D38" s="133"/>
      <c r="E38" s="133"/>
      <c r="F38" s="158" t="s">
        <v>536</v>
      </c>
      <c r="G38" s="159"/>
      <c r="H38" s="159"/>
      <c r="I38" s="746" t="s">
        <v>880</v>
      </c>
      <c r="J38" s="774"/>
      <c r="K38" s="774"/>
      <c r="L38" s="774"/>
      <c r="M38" s="774"/>
      <c r="N38" s="774"/>
      <c r="O38" s="774"/>
      <c r="P38" s="774"/>
      <c r="Q38" s="774"/>
      <c r="R38" s="774"/>
      <c r="S38" s="774"/>
      <c r="T38" s="774"/>
      <c r="U38" s="774"/>
      <c r="V38" s="774"/>
    </row>
    <row r="39" spans="2:22" ht="15.5">
      <c r="B39" s="160"/>
      <c r="C39" s="775" t="s">
        <v>537</v>
      </c>
      <c r="D39" s="775"/>
      <c r="E39" s="775"/>
      <c r="F39" s="158"/>
      <c r="G39" s="159"/>
      <c r="H39" s="159"/>
      <c r="I39" s="746"/>
      <c r="J39" s="774"/>
      <c r="K39" s="774"/>
      <c r="L39" s="774"/>
      <c r="M39" s="774"/>
      <c r="N39" s="774"/>
      <c r="O39" s="774"/>
      <c r="P39" s="774"/>
      <c r="Q39" s="774"/>
      <c r="R39" s="774"/>
      <c r="S39" s="774"/>
      <c r="T39" s="774"/>
      <c r="U39" s="774"/>
      <c r="V39" s="774"/>
    </row>
    <row r="40" spans="2:22" ht="15.5">
      <c r="B40" s="160"/>
      <c r="C40" s="776" t="s">
        <v>538</v>
      </c>
      <c r="D40" s="776"/>
      <c r="E40" s="777" t="s">
        <v>539</v>
      </c>
      <c r="F40" s="771">
        <f>'A6c. Operations-Site 3'!E38+'A6c. Operations-Site 3'!E39</f>
        <v>0</v>
      </c>
      <c r="G40" s="153"/>
      <c r="H40" s="153"/>
      <c r="I40" s="747" t="str">
        <f>+IFERROR(F40/$F$73,"")</f>
        <v/>
      </c>
      <c r="J40" s="774"/>
      <c r="K40" s="774"/>
      <c r="L40" s="774"/>
      <c r="M40" s="774"/>
      <c r="N40" s="774"/>
      <c r="O40" s="774"/>
      <c r="P40" s="774"/>
      <c r="Q40" s="774"/>
      <c r="R40" s="774"/>
      <c r="S40" s="774"/>
      <c r="T40" s="774"/>
      <c r="U40" s="774"/>
      <c r="V40" s="774"/>
    </row>
    <row r="41" spans="2:22" ht="15.5">
      <c r="B41" s="160"/>
      <c r="C41" s="776" t="s">
        <v>540</v>
      </c>
      <c r="D41" s="776"/>
      <c r="E41" s="777" t="s">
        <v>541</v>
      </c>
      <c r="F41" s="771">
        <f>'A6c. Operations-Site 3'!E40+'A6c. Operations-Site 3'!E41</f>
        <v>0</v>
      </c>
      <c r="G41" s="153"/>
      <c r="H41" s="153"/>
      <c r="I41" s="747" t="str">
        <f t="shared" ref="I41:I43" si="0">+IFERROR(F41/$F$73,"")</f>
        <v/>
      </c>
      <c r="J41" s="774"/>
      <c r="K41" s="774"/>
      <c r="L41" s="774"/>
      <c r="M41" s="774"/>
      <c r="N41" s="774"/>
      <c r="O41" s="774"/>
      <c r="P41" s="774"/>
      <c r="Q41" s="774"/>
      <c r="R41" s="774"/>
      <c r="S41" s="774"/>
      <c r="T41" s="774"/>
      <c r="U41" s="774"/>
      <c r="V41" s="774"/>
    </row>
    <row r="42" spans="2:22" ht="15.5">
      <c r="B42" s="160"/>
      <c r="C42" s="776" t="s">
        <v>542</v>
      </c>
      <c r="D42" s="776"/>
      <c r="E42" s="777" t="s">
        <v>543</v>
      </c>
      <c r="F42" s="771">
        <f>'A6c. Operations-Site 3'!E42</f>
        <v>0</v>
      </c>
      <c r="G42" s="153"/>
      <c r="H42" s="153"/>
      <c r="I42" s="747" t="str">
        <f t="shared" si="0"/>
        <v/>
      </c>
      <c r="J42" s="774"/>
      <c r="K42" s="774"/>
      <c r="L42" s="774"/>
      <c r="M42" s="774"/>
      <c r="N42" s="774"/>
      <c r="O42" s="774"/>
      <c r="P42" s="774"/>
      <c r="Q42" s="774"/>
      <c r="R42" s="774"/>
      <c r="S42" s="774"/>
      <c r="T42" s="774"/>
      <c r="U42" s="774"/>
      <c r="V42" s="774"/>
    </row>
    <row r="43" spans="2:22" ht="15.5">
      <c r="B43" s="160"/>
      <c r="C43" s="776" t="s">
        <v>544</v>
      </c>
      <c r="D43" s="776"/>
      <c r="E43" s="777" t="s">
        <v>545</v>
      </c>
      <c r="F43" s="771">
        <f>'A6c. Operations-Site 3'!E43</f>
        <v>0</v>
      </c>
      <c r="G43" s="161"/>
      <c r="H43" s="161"/>
      <c r="I43" s="747" t="str">
        <f t="shared" si="0"/>
        <v/>
      </c>
      <c r="J43" s="774"/>
      <c r="K43" s="774"/>
      <c r="L43" s="774"/>
      <c r="M43" s="774"/>
      <c r="N43" s="774"/>
      <c r="O43" s="774"/>
      <c r="P43" s="774"/>
      <c r="Q43" s="774"/>
      <c r="R43" s="774"/>
      <c r="S43" s="774"/>
      <c r="T43" s="774"/>
      <c r="U43" s="774"/>
      <c r="V43" s="774"/>
    </row>
    <row r="44" spans="2:22" ht="15.5">
      <c r="B44" s="160"/>
      <c r="C44" s="776" t="s">
        <v>546</v>
      </c>
      <c r="D44" s="776"/>
      <c r="E44" s="777" t="s">
        <v>547</v>
      </c>
      <c r="F44" s="778">
        <f>'A6c. Operations-Site 3'!E44</f>
        <v>0</v>
      </c>
      <c r="G44" s="153"/>
      <c r="H44" s="433"/>
      <c r="I44" s="747"/>
      <c r="J44" s="774"/>
      <c r="K44" s="774"/>
      <c r="L44" s="700"/>
      <c r="M44" s="700"/>
      <c r="N44" s="700"/>
      <c r="O44" s="700"/>
      <c r="P44" s="774"/>
      <c r="Q44" s="774"/>
      <c r="R44" s="774"/>
      <c r="S44" s="774"/>
      <c r="T44" s="774"/>
      <c r="U44" s="774"/>
      <c r="V44" s="774"/>
    </row>
    <row r="45" spans="2:22" ht="15.5">
      <c r="B45" s="160"/>
      <c r="C45" s="776" t="s">
        <v>548</v>
      </c>
      <c r="D45" s="776"/>
      <c r="E45" s="777" t="s">
        <v>549</v>
      </c>
      <c r="F45" s="771">
        <f>'A4. KPIs'!G61</f>
        <v>0</v>
      </c>
      <c r="G45" s="162"/>
      <c r="H45" s="162"/>
      <c r="I45" s="779"/>
      <c r="J45" s="774"/>
      <c r="K45" s="774"/>
      <c r="L45" s="774"/>
      <c r="M45" s="774"/>
      <c r="N45" s="774"/>
      <c r="O45" s="774"/>
      <c r="P45" s="774"/>
      <c r="Q45" s="774"/>
      <c r="R45" s="774"/>
      <c r="S45" s="774"/>
      <c r="T45" s="774"/>
      <c r="U45" s="774"/>
      <c r="V45" s="774"/>
    </row>
    <row r="46" spans="2:22" ht="15.5">
      <c r="B46" s="157"/>
      <c r="C46" s="776"/>
      <c r="D46" s="776"/>
      <c r="E46" s="776"/>
      <c r="F46" s="780"/>
      <c r="G46" s="780"/>
      <c r="H46" s="780"/>
      <c r="I46" s="748"/>
      <c r="J46" s="774"/>
      <c r="K46" s="774"/>
      <c r="L46" s="774"/>
      <c r="M46" s="774"/>
      <c r="N46" s="774"/>
      <c r="O46" s="774"/>
      <c r="P46" s="774"/>
      <c r="Q46" s="774"/>
      <c r="R46" s="774"/>
      <c r="S46" s="774"/>
      <c r="T46" s="774"/>
      <c r="U46" s="774"/>
      <c r="V46" s="774"/>
    </row>
    <row r="47" spans="2:22" ht="15.5">
      <c r="B47" s="781"/>
      <c r="C47" s="775" t="s">
        <v>550</v>
      </c>
      <c r="D47" s="775"/>
      <c r="E47" s="775"/>
      <c r="F47" s="780"/>
      <c r="G47" s="780"/>
      <c r="H47" s="780"/>
      <c r="I47" s="748"/>
      <c r="J47" s="774"/>
      <c r="K47" s="774"/>
      <c r="L47" s="774"/>
      <c r="M47" s="774"/>
      <c r="N47" s="774"/>
      <c r="O47" s="774"/>
      <c r="P47" s="774"/>
      <c r="Q47" s="774"/>
      <c r="R47" s="774"/>
      <c r="S47" s="774"/>
      <c r="T47" s="774"/>
      <c r="U47" s="774"/>
      <c r="V47" s="774"/>
    </row>
    <row r="48" spans="2:22" ht="15.5">
      <c r="B48" s="160"/>
      <c r="C48" s="776" t="s">
        <v>551</v>
      </c>
      <c r="D48" s="776"/>
      <c r="E48" s="777" t="s">
        <v>552</v>
      </c>
      <c r="F48" s="771">
        <f>'A6c. Operations-Site 3'!E46+'A6c. Operations-Site 3'!E47</f>
        <v>0</v>
      </c>
      <c r="G48" s="161"/>
      <c r="H48" s="161"/>
      <c r="I48" s="747" t="str">
        <f>+IFERROR(F48/$F$73,"")</f>
        <v/>
      </c>
      <c r="J48" s="774"/>
      <c r="K48" s="774"/>
      <c r="L48" s="774"/>
      <c r="M48" s="774"/>
      <c r="N48" s="774"/>
      <c r="O48" s="774"/>
      <c r="P48" s="774"/>
      <c r="Q48" s="774"/>
      <c r="R48" s="774"/>
      <c r="S48" s="774"/>
      <c r="T48" s="774"/>
      <c r="U48" s="774"/>
      <c r="V48" s="774"/>
    </row>
    <row r="49" spans="2:22" ht="15.5">
      <c r="B49" s="160"/>
      <c r="C49" s="776" t="s">
        <v>553</v>
      </c>
      <c r="D49" s="776"/>
      <c r="E49" s="163" t="s">
        <v>554</v>
      </c>
      <c r="F49" s="771">
        <f>'A6c. Operations-Site 3'!E48+'A6c. Operations-Site 3'!E49</f>
        <v>0</v>
      </c>
      <c r="G49" s="161"/>
      <c r="H49" s="161"/>
      <c r="I49" s="747" t="str">
        <f t="shared" ref="I49:I52" si="1">+IFERROR(F49/$F$73,"")</f>
        <v/>
      </c>
      <c r="J49" s="774"/>
      <c r="K49" s="774"/>
      <c r="L49" s="774"/>
      <c r="M49" s="774"/>
      <c r="N49" s="774"/>
      <c r="O49" s="774"/>
      <c r="P49" s="774"/>
      <c r="Q49" s="774"/>
      <c r="R49" s="774"/>
      <c r="S49" s="774"/>
      <c r="T49" s="774"/>
      <c r="U49" s="774"/>
      <c r="V49" s="774"/>
    </row>
    <row r="50" spans="2:22" ht="15.5">
      <c r="B50" s="160"/>
      <c r="C50" s="776" t="s">
        <v>555</v>
      </c>
      <c r="D50" s="776"/>
      <c r="E50" s="163" t="s">
        <v>556</v>
      </c>
      <c r="F50" s="771">
        <f>'A6c. Operations-Site 3'!E50</f>
        <v>0</v>
      </c>
      <c r="G50" s="161"/>
      <c r="H50" s="161"/>
      <c r="I50" s="747" t="str">
        <f t="shared" si="1"/>
        <v/>
      </c>
      <c r="J50" s="774"/>
      <c r="K50" s="774"/>
      <c r="L50" s="774"/>
      <c r="M50" s="774"/>
      <c r="N50" s="774"/>
      <c r="O50" s="774"/>
      <c r="P50" s="774"/>
      <c r="Q50" s="774"/>
      <c r="R50" s="774"/>
      <c r="S50" s="774"/>
      <c r="T50" s="774"/>
      <c r="U50" s="774"/>
      <c r="V50" s="774"/>
    </row>
    <row r="51" spans="2:22" ht="15.5">
      <c r="B51" s="160"/>
      <c r="C51" s="776" t="s">
        <v>557</v>
      </c>
      <c r="D51" s="776"/>
      <c r="E51" s="163" t="s">
        <v>558</v>
      </c>
      <c r="F51" s="771">
        <f>'A6c. Operations-Site 3'!E51</f>
        <v>0</v>
      </c>
      <c r="G51" s="161"/>
      <c r="H51" s="161"/>
      <c r="I51" s="747" t="str">
        <f t="shared" si="1"/>
        <v/>
      </c>
      <c r="J51" s="774"/>
      <c r="K51" s="774"/>
      <c r="L51" s="774"/>
      <c r="M51" s="774"/>
      <c r="N51" s="774"/>
      <c r="O51" s="774"/>
      <c r="P51" s="774"/>
      <c r="Q51" s="774"/>
      <c r="R51" s="774"/>
      <c r="S51" s="774"/>
      <c r="T51" s="774"/>
      <c r="U51" s="774"/>
      <c r="V51" s="774"/>
    </row>
    <row r="52" spans="2:22" ht="15.5">
      <c r="B52" s="160"/>
      <c r="C52" s="776" t="s">
        <v>559</v>
      </c>
      <c r="D52" s="776"/>
      <c r="E52" s="163" t="s">
        <v>560</v>
      </c>
      <c r="F52" s="771">
        <f>'A6c. Operations-Site 3'!E52</f>
        <v>0</v>
      </c>
      <c r="G52" s="161"/>
      <c r="H52" s="161"/>
      <c r="I52" s="747" t="str">
        <f t="shared" si="1"/>
        <v/>
      </c>
      <c r="J52" s="774"/>
      <c r="K52" s="774"/>
      <c r="L52" s="774"/>
      <c r="M52" s="774"/>
      <c r="N52" s="774"/>
      <c r="O52" s="774"/>
      <c r="P52" s="774"/>
      <c r="Q52" s="774"/>
      <c r="R52" s="774"/>
      <c r="S52" s="774"/>
      <c r="T52" s="774"/>
      <c r="U52" s="774"/>
      <c r="V52" s="774"/>
    </row>
    <row r="53" spans="2:22" ht="15.5">
      <c r="B53" s="160"/>
      <c r="C53" s="776" t="s">
        <v>561</v>
      </c>
      <c r="D53" s="776"/>
      <c r="E53" s="163" t="s">
        <v>562</v>
      </c>
      <c r="F53" s="771">
        <f>'A4. KPIs'!G62</f>
        <v>0</v>
      </c>
      <c r="G53" s="164"/>
      <c r="H53" s="164"/>
      <c r="I53" s="749"/>
      <c r="J53" s="774"/>
      <c r="K53" s="774"/>
      <c r="L53" s="774"/>
      <c r="M53" s="774"/>
      <c r="N53" s="774"/>
      <c r="O53" s="774"/>
      <c r="P53" s="774"/>
      <c r="Q53" s="774"/>
      <c r="R53" s="774"/>
      <c r="S53" s="774"/>
      <c r="T53" s="774"/>
      <c r="U53" s="774"/>
      <c r="V53" s="774"/>
    </row>
    <row r="54" spans="2:22" ht="15.5">
      <c r="B54" s="157"/>
      <c r="C54" s="776"/>
      <c r="D54" s="776"/>
      <c r="E54" s="133"/>
      <c r="F54" s="780"/>
      <c r="G54" s="780"/>
      <c r="H54" s="780"/>
      <c r="I54" s="748"/>
      <c r="J54" s="774"/>
      <c r="K54" s="774"/>
      <c r="L54" s="774"/>
      <c r="M54" s="774"/>
      <c r="N54" s="774"/>
      <c r="O54" s="774"/>
      <c r="P54" s="774"/>
      <c r="Q54" s="774"/>
      <c r="R54" s="774"/>
      <c r="S54" s="774"/>
      <c r="T54" s="774"/>
      <c r="U54" s="774"/>
      <c r="V54" s="774"/>
    </row>
    <row r="55" spans="2:22" ht="15.5">
      <c r="B55" s="781"/>
      <c r="C55" s="775" t="s">
        <v>231</v>
      </c>
      <c r="D55" s="775"/>
      <c r="E55" s="133"/>
      <c r="F55" s="780"/>
      <c r="G55" s="780"/>
      <c r="H55" s="780"/>
      <c r="I55" s="748"/>
      <c r="J55" s="774"/>
      <c r="K55" s="774"/>
      <c r="L55" s="774"/>
      <c r="M55" s="774"/>
      <c r="N55" s="774"/>
      <c r="O55" s="774"/>
      <c r="P55" s="774"/>
      <c r="Q55" s="774"/>
      <c r="R55" s="774"/>
      <c r="S55" s="774"/>
      <c r="T55" s="774"/>
      <c r="U55" s="774"/>
      <c r="V55" s="774"/>
    </row>
    <row r="56" spans="2:22" ht="15.5">
      <c r="B56" s="160"/>
      <c r="C56" s="776" t="s">
        <v>563</v>
      </c>
      <c r="D56" s="776"/>
      <c r="E56" s="163" t="s">
        <v>564</v>
      </c>
      <c r="F56" s="771">
        <f>'A6c. Operations-Site 3'!E67</f>
        <v>0</v>
      </c>
      <c r="G56" s="153"/>
      <c r="H56" s="153"/>
      <c r="I56" s="747" t="str">
        <f>+IFERROR(F56/$F$73,"")</f>
        <v/>
      </c>
      <c r="J56" s="774"/>
      <c r="K56" s="774"/>
      <c r="L56" s="774"/>
      <c r="M56" s="774"/>
      <c r="N56" s="774"/>
      <c r="O56" s="774"/>
      <c r="P56" s="774"/>
      <c r="Q56" s="774"/>
      <c r="R56" s="774"/>
      <c r="S56" s="774"/>
      <c r="T56" s="774"/>
      <c r="U56" s="774"/>
      <c r="V56" s="774"/>
    </row>
    <row r="57" spans="2:22" ht="15.5">
      <c r="B57" s="160"/>
      <c r="C57" s="776" t="s">
        <v>565</v>
      </c>
      <c r="D57" s="776"/>
      <c r="E57" s="163" t="s">
        <v>566</v>
      </c>
      <c r="F57" s="771">
        <f>'A6c. Operations-Site 3'!E63</f>
        <v>0</v>
      </c>
      <c r="G57" s="153"/>
      <c r="H57" s="153"/>
      <c r="I57" s="747" t="str">
        <f t="shared" ref="I57:I60" si="2">+IFERROR(F57/$F$73,"")</f>
        <v/>
      </c>
      <c r="J57" s="774"/>
      <c r="K57" s="774"/>
      <c r="L57" s="774"/>
      <c r="M57" s="774"/>
      <c r="N57" s="774"/>
      <c r="O57" s="774"/>
      <c r="P57" s="774"/>
      <c r="Q57" s="774"/>
      <c r="R57" s="774"/>
      <c r="S57" s="774"/>
      <c r="T57" s="774"/>
      <c r="U57" s="774"/>
      <c r="V57" s="774"/>
    </row>
    <row r="58" spans="2:22" ht="34.5" customHeight="1">
      <c r="B58" s="160"/>
      <c r="C58" s="133" t="s">
        <v>567</v>
      </c>
      <c r="D58" s="776"/>
      <c r="E58" s="163" t="s">
        <v>568</v>
      </c>
      <c r="F58" s="771">
        <f>'A6c. Operations-Site 3'!E82</f>
        <v>0</v>
      </c>
      <c r="G58" s="153"/>
      <c r="H58" s="153"/>
      <c r="I58" s="747" t="str">
        <f t="shared" si="2"/>
        <v/>
      </c>
      <c r="J58" s="774"/>
      <c r="K58" s="774"/>
      <c r="L58" s="774"/>
      <c r="M58" s="774"/>
      <c r="N58" s="774"/>
      <c r="O58" s="774"/>
      <c r="P58" s="774"/>
      <c r="Q58" s="774"/>
      <c r="R58" s="774"/>
      <c r="S58" s="774"/>
      <c r="T58" s="774"/>
      <c r="U58" s="774"/>
      <c r="V58" s="774"/>
    </row>
    <row r="59" spans="2:22" ht="15.5">
      <c r="B59" s="160"/>
      <c r="C59" s="776" t="s">
        <v>569</v>
      </c>
      <c r="D59" s="776"/>
      <c r="E59" s="163" t="s">
        <v>570</v>
      </c>
      <c r="F59" s="771">
        <f>'A6c. Operations-Site 3'!E64</f>
        <v>0</v>
      </c>
      <c r="G59" s="153"/>
      <c r="H59" s="153"/>
      <c r="I59" s="747" t="str">
        <f t="shared" si="2"/>
        <v/>
      </c>
      <c r="J59" s="774"/>
      <c r="K59" s="774"/>
      <c r="L59" s="774"/>
      <c r="M59" s="774"/>
      <c r="N59" s="774"/>
      <c r="O59" s="774"/>
      <c r="P59" s="774"/>
      <c r="Q59" s="774"/>
      <c r="R59" s="774"/>
      <c r="S59" s="774"/>
      <c r="T59" s="774"/>
      <c r="U59" s="774"/>
      <c r="V59" s="774"/>
    </row>
    <row r="60" spans="2:22" ht="15.5">
      <c r="B60" s="160"/>
      <c r="C60" s="776" t="s">
        <v>571</v>
      </c>
      <c r="D60" s="776"/>
      <c r="E60" s="163" t="s">
        <v>572</v>
      </c>
      <c r="F60" s="771">
        <f>'A6c. Operations-Site 3'!E69</f>
        <v>0</v>
      </c>
      <c r="G60" s="153"/>
      <c r="H60" s="153"/>
      <c r="I60" s="747" t="str">
        <f t="shared" si="2"/>
        <v/>
      </c>
      <c r="J60" s="774"/>
      <c r="K60" s="774"/>
      <c r="L60" s="774"/>
      <c r="M60" s="774"/>
      <c r="N60" s="774"/>
      <c r="O60" s="774"/>
      <c r="P60" s="774"/>
      <c r="Q60" s="774"/>
      <c r="R60" s="774"/>
      <c r="S60" s="774"/>
      <c r="T60" s="774"/>
      <c r="U60" s="774"/>
      <c r="V60" s="774"/>
    </row>
    <row r="61" spans="2:22" ht="15.5">
      <c r="B61" s="157"/>
      <c r="C61" s="133"/>
      <c r="D61" s="133"/>
      <c r="E61" s="133"/>
      <c r="F61" s="133"/>
      <c r="G61" s="133"/>
      <c r="H61" s="133"/>
      <c r="I61" s="782"/>
      <c r="J61" s="774"/>
      <c r="K61" s="774"/>
      <c r="L61" s="774"/>
      <c r="M61" s="774"/>
      <c r="N61" s="774"/>
      <c r="O61" s="774"/>
      <c r="P61" s="774"/>
      <c r="Q61" s="774"/>
      <c r="R61" s="774"/>
      <c r="S61" s="774"/>
      <c r="T61" s="774"/>
      <c r="U61" s="774"/>
      <c r="V61" s="774"/>
    </row>
    <row r="62" spans="2:22" ht="15.5">
      <c r="B62" s="157"/>
      <c r="C62" s="775" t="s">
        <v>89</v>
      </c>
      <c r="D62" s="775"/>
      <c r="E62" s="775"/>
      <c r="F62" s="1"/>
      <c r="G62" s="1"/>
      <c r="H62" s="1"/>
      <c r="I62" s="748"/>
      <c r="J62" s="774"/>
      <c r="K62" s="774"/>
      <c r="L62" s="774"/>
      <c r="M62" s="774"/>
      <c r="N62" s="774"/>
      <c r="O62" s="774"/>
      <c r="P62" s="774"/>
      <c r="Q62" s="774"/>
      <c r="R62" s="774"/>
      <c r="S62" s="774"/>
      <c r="T62" s="774"/>
      <c r="U62" s="774"/>
      <c r="V62" s="774"/>
    </row>
    <row r="63" spans="2:22" ht="22.5" customHeight="1">
      <c r="B63" s="783"/>
      <c r="C63" s="136" t="s">
        <v>573</v>
      </c>
      <c r="D63" s="136"/>
      <c r="E63" s="784" t="s">
        <v>574</v>
      </c>
      <c r="F63" s="785">
        <f>'A6c. Operations-Site 3'!E54+'A6c. Operations-Site 3'!E56+'A6c. Operations-Site 3'!E58+'A6c. Operations-Site 3'!E60</f>
        <v>0</v>
      </c>
      <c r="G63" s="165"/>
      <c r="H63" s="165"/>
      <c r="I63" s="747" t="str">
        <f>+IFERROR(F63/$F$73,"")</f>
        <v/>
      </c>
      <c r="J63" s="774"/>
      <c r="K63" s="774"/>
      <c r="L63" s="774"/>
      <c r="M63" s="774"/>
      <c r="N63" s="774"/>
      <c r="O63" s="774"/>
      <c r="P63" s="774"/>
      <c r="Q63" s="774"/>
      <c r="R63" s="774"/>
      <c r="S63" s="774"/>
      <c r="T63" s="774"/>
      <c r="U63" s="774"/>
      <c r="V63" s="774"/>
    </row>
    <row r="64" spans="2:22" ht="15">
      <c r="B64" s="783"/>
      <c r="C64" s="136" t="s">
        <v>575</v>
      </c>
      <c r="D64" s="136"/>
      <c r="E64" s="784" t="s">
        <v>576</v>
      </c>
      <c r="F64" s="786">
        <f>'A6c. Operations-Site 3'!E55+'A6c. Operations-Site 3'!E57</f>
        <v>0</v>
      </c>
      <c r="G64" s="165"/>
      <c r="H64" s="165"/>
      <c r="I64" s="747" t="str">
        <f t="shared" ref="I64:I70" si="3">+IFERROR(F64/$F$73,"")</f>
        <v/>
      </c>
      <c r="J64" s="774"/>
      <c r="K64" s="774"/>
      <c r="L64" s="774"/>
      <c r="M64" s="774"/>
      <c r="N64" s="774"/>
      <c r="O64" s="774"/>
      <c r="P64" s="774"/>
      <c r="Q64" s="774"/>
      <c r="R64" s="774"/>
      <c r="S64" s="774"/>
      <c r="T64" s="774"/>
      <c r="U64" s="774"/>
      <c r="V64" s="774"/>
    </row>
    <row r="65" spans="2:22" ht="15">
      <c r="B65" s="783"/>
      <c r="C65" s="136" t="s">
        <v>577</v>
      </c>
      <c r="D65" s="136"/>
      <c r="E65" s="784" t="s">
        <v>578</v>
      </c>
      <c r="F65" s="785">
        <f>'A6c. Operations-Site 3'!E72+'A6c. Operations-Site 3'!E73+'A6c. Operations-Site 3'!E74</f>
        <v>0</v>
      </c>
      <c r="G65" s="165"/>
      <c r="H65" s="165"/>
      <c r="I65" s="747" t="str">
        <f t="shared" si="3"/>
        <v/>
      </c>
      <c r="J65" s="774"/>
      <c r="K65" s="774"/>
      <c r="L65" s="774"/>
      <c r="M65" s="774"/>
      <c r="N65" s="774"/>
      <c r="O65" s="774"/>
      <c r="P65" s="774"/>
      <c r="Q65" s="774"/>
      <c r="R65" s="774"/>
      <c r="S65" s="774"/>
      <c r="T65" s="774"/>
      <c r="U65" s="774"/>
      <c r="V65" s="774"/>
    </row>
    <row r="66" spans="2:22" ht="30">
      <c r="B66" s="783"/>
      <c r="C66" s="136" t="s">
        <v>579</v>
      </c>
      <c r="D66" s="136"/>
      <c r="E66" s="784" t="s">
        <v>580</v>
      </c>
      <c r="F66" s="785">
        <f>'A6c. Operations-Site 3'!E65+'A6c. Operations-Site 3'!E68+'A6c. Operations-Site 3'!E81+'A6c. Operations-Site 3'!E88+'A6c. Operations-Site 3'!E94</f>
        <v>0</v>
      </c>
      <c r="G66" s="165"/>
      <c r="H66" s="165"/>
      <c r="I66" s="747" t="str">
        <f t="shared" si="3"/>
        <v/>
      </c>
      <c r="J66" s="774"/>
      <c r="K66" s="774"/>
      <c r="L66" s="774"/>
      <c r="M66" s="774"/>
      <c r="N66" s="774"/>
      <c r="O66" s="774"/>
      <c r="P66" s="774"/>
      <c r="Q66" s="774"/>
      <c r="R66" s="774"/>
      <c r="S66" s="774"/>
      <c r="T66" s="774"/>
      <c r="U66" s="774"/>
      <c r="V66" s="774"/>
    </row>
    <row r="67" spans="2:22" ht="15">
      <c r="B67" s="783"/>
      <c r="C67" s="136" t="s">
        <v>581</v>
      </c>
      <c r="D67" s="136"/>
      <c r="E67" s="784" t="s">
        <v>582</v>
      </c>
      <c r="F67" s="785">
        <f>'A6c. Operations-Site 3'!E77+'A6c. Operations-Site 3'!E78</f>
        <v>0</v>
      </c>
      <c r="G67" s="165"/>
      <c r="H67" s="165"/>
      <c r="I67" s="747" t="str">
        <f t="shared" si="3"/>
        <v/>
      </c>
      <c r="J67" s="774"/>
      <c r="K67" s="774"/>
      <c r="L67" s="774"/>
      <c r="M67" s="774"/>
      <c r="N67" s="774"/>
      <c r="O67" s="774"/>
      <c r="P67" s="774"/>
      <c r="Q67" s="774"/>
      <c r="R67" s="774"/>
      <c r="S67" s="774"/>
      <c r="T67" s="774"/>
      <c r="U67" s="774"/>
      <c r="V67" s="774"/>
    </row>
    <row r="68" spans="2:22" ht="15">
      <c r="B68" s="783"/>
      <c r="C68" s="136" t="s">
        <v>583</v>
      </c>
      <c r="D68" s="136"/>
      <c r="E68" s="784" t="s">
        <v>584</v>
      </c>
      <c r="F68" s="785">
        <f>'A6c. Operations-Site 3'!E66+'A6c. Operations-Site 3'!E105</f>
        <v>0</v>
      </c>
      <c r="G68" s="165"/>
      <c r="H68" s="165"/>
      <c r="I68" s="747" t="str">
        <f>+IFERROR(F68/$F$73,"")</f>
        <v/>
      </c>
      <c r="J68" s="774"/>
      <c r="K68" s="774"/>
      <c r="L68" s="774"/>
      <c r="M68" s="774"/>
      <c r="N68" s="774"/>
      <c r="O68" s="774"/>
      <c r="P68" s="774"/>
      <c r="Q68" s="774"/>
      <c r="R68" s="774"/>
      <c r="S68" s="774"/>
      <c r="T68" s="774"/>
      <c r="U68" s="774"/>
      <c r="V68" s="774"/>
    </row>
    <row r="69" spans="2:22" ht="15">
      <c r="B69" s="783"/>
      <c r="C69" s="136" t="s">
        <v>585</v>
      </c>
      <c r="D69" s="136"/>
      <c r="E69" s="784" t="s">
        <v>586</v>
      </c>
      <c r="F69" s="785">
        <f>'A6c. Operations-Site 3'!E89+'A6c. Operations-Site 3'!E90</f>
        <v>0</v>
      </c>
      <c r="G69" s="165"/>
      <c r="H69" s="165"/>
      <c r="I69" s="747" t="str">
        <f t="shared" si="3"/>
        <v/>
      </c>
      <c r="J69" s="774"/>
      <c r="K69" s="774"/>
      <c r="L69" s="774"/>
      <c r="M69" s="774"/>
      <c r="N69" s="774"/>
      <c r="O69" s="774"/>
      <c r="P69" s="774"/>
      <c r="Q69" s="774"/>
      <c r="R69" s="774"/>
      <c r="S69" s="774"/>
      <c r="T69" s="774"/>
      <c r="U69" s="774"/>
      <c r="V69" s="774"/>
    </row>
    <row r="70" spans="2:22" ht="15" hidden="1">
      <c r="B70" s="783"/>
      <c r="C70" s="136" t="s">
        <v>587</v>
      </c>
      <c r="D70" s="136"/>
      <c r="E70" s="784" t="s">
        <v>588</v>
      </c>
      <c r="F70" s="785"/>
      <c r="G70" s="165"/>
      <c r="H70" s="165"/>
      <c r="I70" s="747" t="str">
        <f t="shared" si="3"/>
        <v/>
      </c>
      <c r="J70" s="774"/>
      <c r="K70" s="774"/>
      <c r="L70" s="774"/>
      <c r="M70" s="774"/>
      <c r="N70" s="774"/>
      <c r="O70" s="774"/>
      <c r="P70" s="774"/>
      <c r="Q70" s="774"/>
      <c r="R70" s="774"/>
      <c r="S70" s="774"/>
      <c r="T70" s="774"/>
      <c r="U70" s="774"/>
      <c r="V70" s="774"/>
    </row>
    <row r="71" spans="2:22" ht="15">
      <c r="B71" s="783"/>
      <c r="C71" s="136" t="s">
        <v>589</v>
      </c>
      <c r="D71" s="136"/>
      <c r="E71" s="784" t="s">
        <v>590</v>
      </c>
      <c r="F71" s="785">
        <f>'A6c. Operations-Site 3'!E84+'A6c. Operations-Site 3'!E85+'A6c. Operations-Site 3'!E86+'A6c. Operations-Site 3'!E87+'A6c. Operations-Site 3'!E91+'A6c. Operations-Site 3'!E92+'A6c. Operations-Site 3'!E93+'A6c. Operations-Site 3'!E95+'A6c. Operations-Site 3'!E96+'A6c. Operations-Site 3'!E98+'A6c. Operations-Site 3'!E99+'A6c. Operations-Site 3'!E100+'A6c. Operations-Site 3'!E101+'A6c. Operations-Site 3'!E107+'A6c. Operations-Site 3'!E108</f>
        <v>0</v>
      </c>
      <c r="G71" s="165"/>
      <c r="H71" s="165"/>
      <c r="I71" s="747" t="str">
        <f>+IFERROR(F71/$F$73,"")</f>
        <v/>
      </c>
      <c r="J71" s="774"/>
      <c r="K71" s="774"/>
      <c r="L71" s="774"/>
      <c r="M71" s="774"/>
      <c r="N71" s="774"/>
      <c r="O71" s="774"/>
      <c r="P71" s="774"/>
      <c r="Q71" s="774"/>
      <c r="R71" s="774"/>
      <c r="S71" s="774"/>
      <c r="T71" s="774"/>
      <c r="U71" s="774"/>
      <c r="V71" s="774"/>
    </row>
    <row r="72" spans="2:22" ht="15.5">
      <c r="B72" s="157"/>
      <c r="C72" s="776"/>
      <c r="D72" s="776"/>
      <c r="E72" s="776"/>
      <c r="F72" s="780"/>
      <c r="G72" s="780"/>
      <c r="H72" s="780"/>
      <c r="I72" s="787"/>
      <c r="J72" s="774"/>
      <c r="K72" s="774"/>
      <c r="L72" s="774"/>
      <c r="M72" s="774"/>
      <c r="N72" s="774"/>
      <c r="O72" s="774"/>
      <c r="P72" s="774"/>
      <c r="Q72" s="774"/>
      <c r="R72" s="774"/>
      <c r="S72" s="774"/>
      <c r="T72" s="774"/>
      <c r="U72" s="774"/>
      <c r="V72" s="774"/>
    </row>
    <row r="73" spans="2:22" ht="30.5">
      <c r="B73" s="157"/>
      <c r="C73" s="788" t="s">
        <v>591</v>
      </c>
      <c r="D73" s="788"/>
      <c r="E73" s="788"/>
      <c r="F73" s="166">
        <f>+SUM(F40:F44,F48:F52,F56:F60,F63:F71)</f>
        <v>0</v>
      </c>
      <c r="G73" s="166"/>
      <c r="H73" s="166"/>
      <c r="I73" s="750">
        <f>+SUM(I40:I72)</f>
        <v>0</v>
      </c>
      <c r="J73" s="774"/>
      <c r="K73" s="774"/>
      <c r="L73" s="774"/>
      <c r="M73" s="774"/>
      <c r="N73" s="774"/>
      <c r="O73" s="774"/>
      <c r="P73" s="774"/>
      <c r="Q73" s="774"/>
      <c r="R73" s="774"/>
      <c r="S73" s="774"/>
      <c r="T73" s="774"/>
      <c r="U73" s="774"/>
      <c r="V73" s="774"/>
    </row>
    <row r="74" spans="2:22" ht="15.5">
      <c r="B74" s="157"/>
      <c r="C74" s="788"/>
      <c r="D74" s="788"/>
      <c r="E74" s="788"/>
      <c r="F74" s="166"/>
      <c r="G74" s="166"/>
      <c r="H74" s="166"/>
      <c r="I74" s="434"/>
      <c r="J74" s="774"/>
      <c r="K74" s="774"/>
      <c r="L74" s="774"/>
      <c r="M74" s="774"/>
      <c r="N74" s="774"/>
      <c r="O74" s="774"/>
      <c r="P74" s="774"/>
      <c r="Q74" s="774"/>
      <c r="R74" s="774"/>
      <c r="S74" s="774"/>
      <c r="T74" s="774"/>
      <c r="U74" s="774"/>
      <c r="V74" s="774"/>
    </row>
    <row r="75" spans="2:22" ht="15.5">
      <c r="B75" s="160"/>
      <c r="C75" s="776" t="s">
        <v>592</v>
      </c>
      <c r="D75" s="776"/>
      <c r="E75" s="789" t="s">
        <v>593</v>
      </c>
      <c r="F75" s="771">
        <f>'A3. Peel Region Grants'!F81+'A3. Peel Region Grants'!F122</f>
        <v>0</v>
      </c>
      <c r="G75" s="153"/>
      <c r="H75" s="153"/>
      <c r="I75" s="211"/>
      <c r="J75" s="774"/>
      <c r="K75" s="774"/>
      <c r="L75" s="774"/>
      <c r="M75" s="774"/>
      <c r="N75" s="774"/>
      <c r="O75" s="774"/>
      <c r="P75" s="774"/>
      <c r="Q75" s="774"/>
      <c r="R75" s="774"/>
      <c r="S75" s="774"/>
      <c r="T75" s="774"/>
      <c r="U75" s="774"/>
      <c r="V75" s="774"/>
    </row>
    <row r="76" spans="2:22" ht="15.5">
      <c r="B76" s="1"/>
      <c r="C76" s="133"/>
      <c r="D76" s="133"/>
      <c r="E76" s="133"/>
      <c r="F76" s="1"/>
      <c r="G76" s="1"/>
      <c r="H76" s="1"/>
      <c r="I76" s="595"/>
      <c r="J76" s="774"/>
      <c r="K76" s="774"/>
      <c r="L76" s="774"/>
      <c r="M76" s="774"/>
      <c r="N76" s="774"/>
      <c r="O76" s="774"/>
      <c r="P76" s="774"/>
      <c r="Q76" s="774"/>
      <c r="R76" s="774"/>
      <c r="S76" s="774"/>
      <c r="T76" s="774"/>
      <c r="U76" s="774"/>
      <c r="V76" s="774"/>
    </row>
    <row r="77" spans="2:22" ht="30.5">
      <c r="B77" s="1"/>
      <c r="C77" s="788" t="s">
        <v>594</v>
      </c>
      <c r="D77" s="788"/>
      <c r="E77" s="788"/>
      <c r="F77" s="166">
        <f>+F73+F75</f>
        <v>0</v>
      </c>
      <c r="G77" s="166"/>
      <c r="H77" s="166"/>
      <c r="I77" s="434"/>
      <c r="J77" s="774"/>
      <c r="K77" s="774"/>
      <c r="L77" s="774"/>
      <c r="M77" s="774"/>
      <c r="N77" s="774"/>
      <c r="O77" s="774"/>
      <c r="P77" s="774"/>
      <c r="Q77" s="774"/>
      <c r="R77" s="774"/>
      <c r="S77" s="774"/>
      <c r="T77" s="774"/>
      <c r="U77" s="774"/>
      <c r="V77" s="774"/>
    </row>
    <row r="78" spans="2:22" ht="15.5">
      <c r="B78" s="1"/>
      <c r="C78" s="133"/>
      <c r="D78" s="133"/>
      <c r="E78" s="133"/>
      <c r="F78" s="130"/>
      <c r="G78" s="131"/>
      <c r="H78" s="131"/>
      <c r="I78" s="595"/>
      <c r="J78" s="774"/>
      <c r="K78" s="774"/>
      <c r="L78" s="774"/>
      <c r="M78" s="774"/>
      <c r="N78" s="774"/>
      <c r="O78" s="774"/>
      <c r="P78" s="774"/>
      <c r="Q78" s="774"/>
      <c r="R78" s="774"/>
      <c r="S78" s="774"/>
      <c r="T78" s="774"/>
      <c r="U78" s="774"/>
      <c r="V78" s="774"/>
    </row>
    <row r="79" spans="2:22" ht="30.5">
      <c r="B79" s="1"/>
      <c r="C79" s="790" t="str">
        <f>"Of the "&amp;TEXT(F77,"$#,###.00")&amp;", how much was specifically spent to support the inclusion of eligible children with special needs?"</f>
        <v>Of the $.00, how much was specifically spent to support the inclusion of eligible children with special needs?</v>
      </c>
      <c r="D79" s="788"/>
      <c r="E79" s="789" t="s">
        <v>595</v>
      </c>
      <c r="F79" s="771">
        <f>'A4. KPIs'!G54</f>
        <v>0</v>
      </c>
      <c r="G79" s="166"/>
      <c r="H79" s="166"/>
      <c r="I79" s="434"/>
      <c r="J79" s="774"/>
      <c r="K79" s="774"/>
      <c r="L79" s="774"/>
      <c r="M79" s="774"/>
      <c r="N79" s="774"/>
      <c r="O79" s="774"/>
      <c r="P79" s="774"/>
      <c r="Q79" s="774"/>
      <c r="R79" s="774"/>
      <c r="S79" s="774"/>
      <c r="T79" s="774"/>
      <c r="U79" s="774"/>
      <c r="V79" s="774"/>
    </row>
    <row r="80" spans="2:22" ht="15.5">
      <c r="B80" s="1"/>
      <c r="C80" s="133"/>
      <c r="D80" s="133"/>
      <c r="E80" s="133"/>
      <c r="F80" s="1"/>
      <c r="G80" s="1"/>
      <c r="H80" s="1"/>
      <c r="I80" s="595"/>
      <c r="J80" s="774"/>
      <c r="K80" s="774"/>
      <c r="L80" s="774"/>
      <c r="M80" s="774"/>
      <c r="N80" s="774"/>
      <c r="O80" s="774"/>
      <c r="P80" s="774"/>
      <c r="Q80" s="774"/>
      <c r="R80" s="774"/>
      <c r="S80" s="774"/>
      <c r="T80" s="774"/>
      <c r="U80" s="774"/>
      <c r="V80" s="774"/>
    </row>
    <row r="81" spans="2:22" ht="15.5">
      <c r="B81" s="148"/>
      <c r="C81" s="776" t="s">
        <v>596</v>
      </c>
      <c r="D81" s="776"/>
      <c r="E81" s="791"/>
      <c r="F81" s="1" t="s">
        <v>597</v>
      </c>
      <c r="G81" s="148"/>
      <c r="H81" s="148"/>
      <c r="I81" s="1" t="s">
        <v>598</v>
      </c>
      <c r="J81" s="774"/>
      <c r="K81" s="774"/>
      <c r="L81" s="774"/>
      <c r="M81" s="774"/>
      <c r="N81" s="774"/>
      <c r="O81" s="774"/>
      <c r="P81" s="774"/>
      <c r="Q81" s="774"/>
      <c r="R81" s="774"/>
      <c r="S81" s="774"/>
      <c r="T81" s="774"/>
      <c r="U81" s="774"/>
      <c r="V81" s="774"/>
    </row>
    <row r="82" spans="2:22" ht="15">
      <c r="B82" s="167" t="s">
        <v>599</v>
      </c>
      <c r="C82" s="792">
        <f>'A1. Identification'!D14</f>
        <v>0</v>
      </c>
      <c r="D82" s="168"/>
      <c r="E82" s="167" t="s">
        <v>600</v>
      </c>
      <c r="F82" s="793">
        <f>'A1. Identification'!D15</f>
        <v>0</v>
      </c>
      <c r="G82" s="169"/>
      <c r="H82" s="167" t="s">
        <v>601</v>
      </c>
      <c r="I82" s="794">
        <f>'A1. Identification'!D16</f>
        <v>0</v>
      </c>
    </row>
    <row r="85" spans="2:22" ht="17.5">
      <c r="B85" s="769" t="s">
        <v>602</v>
      </c>
      <c r="C85" s="133"/>
      <c r="D85" s="133"/>
      <c r="E85" s="133"/>
      <c r="F85" s="149"/>
      <c r="G85" s="170"/>
      <c r="H85" s="170"/>
      <c r="I85" s="773"/>
    </row>
    <row r="86" spans="2:22" ht="17.5">
      <c r="B86" s="769"/>
      <c r="C86" s="133"/>
      <c r="D86" s="133"/>
      <c r="E86" s="133"/>
      <c r="F86" s="149"/>
      <c r="G86" s="170"/>
      <c r="H86" s="170"/>
      <c r="I86" s="773"/>
    </row>
    <row r="87" spans="2:22" ht="17.5">
      <c r="B87" s="769"/>
      <c r="C87" s="1" t="s">
        <v>603</v>
      </c>
      <c r="D87" s="148"/>
      <c r="E87" s="133"/>
      <c r="F87" s="130"/>
      <c r="G87" s="170"/>
      <c r="H87" s="170"/>
      <c r="I87" s="773"/>
    </row>
    <row r="88" spans="2:22" ht="15.5">
      <c r="B88" s="167" t="s">
        <v>604</v>
      </c>
      <c r="C88" s="795">
        <f>'A1. Identification'!D17</f>
        <v>0</v>
      </c>
      <c r="D88" s="171"/>
      <c r="E88" s="133"/>
      <c r="F88" s="149"/>
      <c r="G88" s="170"/>
      <c r="H88" s="170"/>
      <c r="I88" s="773"/>
    </row>
    <row r="89" spans="2:22" ht="17.5">
      <c r="B89" s="769"/>
      <c r="C89" s="172" t="str">
        <f>IF(AND(C88="",F10=""),"WARNING: Signing Officer and License Number are needed to complete attestation.","")</f>
        <v/>
      </c>
      <c r="D89" s="171"/>
      <c r="E89" s="133"/>
      <c r="F89" s="150"/>
      <c r="G89" s="170"/>
      <c r="H89" s="170"/>
      <c r="I89" s="773"/>
    </row>
    <row r="90" spans="2:22" ht="15.5">
      <c r="B90" s="1"/>
      <c r="C90" s="796" t="str">
        <f>IF(C88="","[The attestation text will appear once box 4C is completed]","Attestation")</f>
        <v>Attestation</v>
      </c>
      <c r="D90" s="173"/>
      <c r="E90" s="133"/>
      <c r="F90" s="149"/>
      <c r="G90" s="149"/>
      <c r="H90" s="149"/>
      <c r="I90" s="773"/>
    </row>
    <row r="91" spans="2:22" ht="15.5">
      <c r="B91" s="1"/>
      <c r="C91" s="174" t="str">
        <f>IF(C88="","","I, "&amp;C88&amp;", confirm that:")</f>
        <v>I, 0, confirm that:</v>
      </c>
      <c r="D91" s="173"/>
      <c r="E91" s="133"/>
      <c r="F91" s="1"/>
      <c r="G91" s="149"/>
      <c r="H91" s="149"/>
      <c r="I91" s="773"/>
    </row>
    <row r="92" spans="2:22" ht="15.5">
      <c r="B92" s="1"/>
      <c r="C92" s="175" t="str">
        <f>IF(C88="",""," I have signing authority with respect to licence # "&amp;F8&amp;".")</f>
        <v xml:space="preserve"> I have signing authority with respect to licence # 0.</v>
      </c>
      <c r="D92" s="173"/>
      <c r="E92" s="133"/>
      <c r="F92" s="149"/>
      <c r="G92" s="149"/>
      <c r="H92" s="149"/>
      <c r="I92" s="773"/>
    </row>
    <row r="93" spans="2:22" ht="55.5" customHeight="1">
      <c r="B93" s="1"/>
      <c r="C93" s="175" t="str">
        <f>IF(C88="","","The information contained in this Standardized Financial Report for the reporting year "&amp;F14&amp;" is accurate and a true reflection of the eligible costs incurred by the licensee for which cost-based funding was used.")</f>
        <v>The information contained in this Standardized Financial Report for the reporting year 2025 is accurate and a true reflection of the eligible costs incurred by the licensee for which cost-based funding was used.</v>
      </c>
      <c r="D93" s="173"/>
      <c r="E93" s="133"/>
      <c r="F93" s="149"/>
      <c r="G93" s="149"/>
      <c r="H93" s="149"/>
      <c r="I93" s="773"/>
    </row>
    <row r="94" spans="2:22" ht="46.5" customHeight="1">
      <c r="B94" s="1"/>
      <c r="C94" s="175" t="str">
        <f>IF(C88="","","Cost-based allocation funding was used by the licensee to cover eligible costs only in accordance with the parameters established by "&amp;F9&amp;". ")</f>
        <v xml:space="preserve">Cost-based allocation funding was used by the licensee to cover eligible costs only in accordance with the parameters established by 0. </v>
      </c>
      <c r="D94" s="173"/>
      <c r="E94" s="133"/>
      <c r="F94" s="149"/>
      <c r="G94" s="149"/>
      <c r="H94" s="149"/>
      <c r="I94" s="773"/>
    </row>
    <row r="95" spans="2:22" ht="20">
      <c r="B95" s="1"/>
      <c r="C95" s="797" t="s">
        <v>605</v>
      </c>
      <c r="D95" s="797"/>
      <c r="E95" s="797"/>
      <c r="F95" s="2" t="s">
        <v>606</v>
      </c>
      <c r="G95" s="148"/>
      <c r="H95" s="148"/>
      <c r="I95" s="1"/>
    </row>
    <row r="96" spans="2:22" ht="20">
      <c r="B96" s="1"/>
      <c r="C96" s="870">
        <f>'A1. Identification'!D26</f>
        <v>0</v>
      </c>
      <c r="D96" s="176"/>
      <c r="E96" s="167" t="s">
        <v>607</v>
      </c>
      <c r="F96" s="798">
        <f>'A1. Identification'!D28</f>
        <v>0</v>
      </c>
      <c r="G96" s="171"/>
      <c r="H96" s="171"/>
      <c r="I96" s="1"/>
    </row>
    <row r="97" spans="2:9" ht="30.5">
      <c r="B97" s="1"/>
      <c r="C97" s="133" t="s">
        <v>608</v>
      </c>
      <c r="D97" s="133"/>
      <c r="E97" s="133"/>
      <c r="F97" s="177"/>
      <c r="G97" s="178"/>
      <c r="H97" s="156"/>
      <c r="I97" s="1"/>
    </row>
  </sheetData>
  <sheetProtection algorithmName="SHA-512" hashValue="l4hxLiSVfmWZ6yvLSv3ZXRS3gfPukl8hCgG2SDAipTp7NOO7bb3xI/273ZKSSi6AwyvlINTM0lllR/9xr6wjUA==" saltValue="u/wA4OkgPk9Ua/ohpG0Zsw==" spinCount="100000" sheet="1" objects="1" scenarios="1"/>
  <mergeCells count="1">
    <mergeCell ref="A1:I1"/>
  </mergeCells>
  <conditionalFormatting sqref="C91:C94">
    <cfRule type="cellIs" dxfId="79" priority="3" operator="notEqual">
      <formula>""</formula>
    </cfRule>
  </conditionalFormatting>
  <conditionalFormatting sqref="C88:D88 D89:D94">
    <cfRule type="cellIs" dxfId="78" priority="4" operator="notEqual">
      <formula>""</formula>
    </cfRule>
  </conditionalFormatting>
  <conditionalFormatting sqref="C96:D96">
    <cfRule type="notContainsBlanks" dxfId="77" priority="6">
      <formula>LEN(TRIM(C96))&gt;0</formula>
    </cfRule>
  </conditionalFormatting>
  <conditionalFormatting sqref="F21:F26">
    <cfRule type="cellIs" dxfId="76" priority="2" operator="notEqual">
      <formula>""</formula>
    </cfRule>
  </conditionalFormatting>
  <conditionalFormatting sqref="F79">
    <cfRule type="cellIs" dxfId="75" priority="7" operator="notEqual">
      <formula>""</formula>
    </cfRule>
  </conditionalFormatting>
  <conditionalFormatting sqref="F8:H14 H27">
    <cfRule type="cellIs" dxfId="74" priority="11" operator="notEqual">
      <formula>""</formula>
    </cfRule>
  </conditionalFormatting>
  <conditionalFormatting sqref="F18:H18">
    <cfRule type="cellIs" dxfId="73" priority="12" operator="notEqual">
      <formula>""</formula>
    </cfRule>
  </conditionalFormatting>
  <conditionalFormatting sqref="F32:H33 F40:H45 F48:H53 F56:H60 F63:H71 C82:D82 F82:G82 I82">
    <cfRule type="cellIs" dxfId="72" priority="8" operator="notEqual">
      <formula>""</formula>
    </cfRule>
  </conditionalFormatting>
  <conditionalFormatting sqref="F75:H75">
    <cfRule type="cellIs" dxfId="71" priority="1" operator="notEqual">
      <formula>""</formula>
    </cfRule>
  </conditionalFormatting>
  <conditionalFormatting sqref="F96:H96">
    <cfRule type="cellIs" dxfId="70" priority="5" operator="notEqual">
      <formula>""</formula>
    </cfRule>
  </conditionalFormatting>
  <conditionalFormatting sqref="I21:I26">
    <cfRule type="cellIs" dxfId="69" priority="10" operator="notEqual">
      <formula>""</formula>
    </cfRule>
  </conditionalFormatting>
  <conditionalFormatting sqref="I38:I39">
    <cfRule type="top10" dxfId="68" priority="9" percent="1" rank="10"/>
  </conditionalFormatting>
  <dataValidations count="21">
    <dataValidation type="date" operator="greaterThanOrEqual" allowBlank="1" showInputMessage="1" showErrorMessage="1" error="Must be a date not earlier than today's date" sqref="F96" xr:uid="{3194C029-CCE0-4D27-A949-DB2735825A40}">
      <formula1>TODAY()</formula1>
    </dataValidation>
    <dataValidation type="whole" operator="greaterThan" allowBlank="1" showInputMessage="1" showErrorMessage="1" sqref="G32:H32" xr:uid="{FD56471B-E09D-44DB-8FBE-3BC9DB4D8DDD}">
      <formula1>0</formula1>
    </dataValidation>
    <dataValidation type="whole" operator="greaterThanOrEqual" allowBlank="1" showInputMessage="1" showErrorMessage="1" sqref="G48:H52 G63:H71 G33:H33 F75:H75" xr:uid="{6E5C6605-D709-479A-98C5-425AC90861B0}">
      <formula1>0</formula1>
    </dataValidation>
    <dataValidation allowBlank="1" showInputMessage="1" showErrorMessage="1" prompt="Please enter phone number as (###) ### - ###" sqref="G82" xr:uid="{E00CAA76-32FF-4EBB-B4F3-9F8167396756}"/>
    <dataValidation type="decimal" operator="greaterThanOrEqual" allowBlank="1" showInputMessage="1" showErrorMessage="1" sqref="G40:H44" xr:uid="{54707374-8D08-42E4-A506-3FF719433CDB}">
      <formula1>0</formula1>
    </dataValidation>
    <dataValidation type="textLength" operator="equal" allowBlank="1" showInputMessage="1" showErrorMessage="1" error="Please enter 10 digit phone number" prompt="Please enter 10 digit phone number" sqref="F82" xr:uid="{A9B26706-C17D-4025-A5F8-EA104ADA9C54}">
      <formula1>10</formula1>
    </dataValidation>
    <dataValidation type="decimal" operator="greaterThan" allowBlank="1" showInputMessage="1" showErrorMessage="1" error="Must be an amount greater than or equal to zero." sqref="F48:F53 F63:F71 F40:F45 F56:F60" xr:uid="{1402D165-A053-40CA-94B2-FB16D08E0BF0}">
      <formula1>0</formula1>
    </dataValidation>
    <dataValidation type="textLength" operator="lessThanOrEqual" allowBlank="1" showInputMessage="1" showErrorMessage="1" error="Must be 50 letters or less" sqref="C82 C88" xr:uid="{017E574E-7227-4373-BAF5-8BD377A91CF7}">
      <formula1>50</formula1>
    </dataValidation>
    <dataValidation type="decimal" operator="greaterThan" allowBlank="1" showInputMessage="1" showErrorMessage="1" error="Must be an amount greater than 0." sqref="F32" xr:uid="{CF60C4B2-DE85-4203-AB26-DDE670B18C4C}">
      <formula1>0</formula1>
    </dataValidation>
    <dataValidation type="decimal" operator="greaterThanOrEqual" allowBlank="1" showInputMessage="1" showErrorMessage="1" error="Must be an amount greater than or equal to 0." sqref="F33" xr:uid="{567B5C72-22ED-4225-A829-58DAAF14D0A1}">
      <formula1>0</formula1>
    </dataValidation>
    <dataValidation type="custom" allowBlank="1" showInputMessage="1" showErrorMessage="1" error="Please enter valid email address" sqref="I82" xr:uid="{596E61BC-7876-42D9-884A-6BBAB97586FF}">
      <formula1>AND(ISNUMBER(FIND("@",I82)), ISNUMBER(FIND(".",I82)), FIND(".",I82) &gt; FIND("@",I82))</formula1>
    </dataValidation>
    <dataValidation type="decimal" allowBlank="1" showInputMessage="1" showErrorMessage="1" error="Must be a number between 0 and the sum of all eligible costs incurred for the eligible centre, AFTER one-time, unexpected costs" prompt="A “child with special needs” means a child whose cognitive, physical, social, emotional or communicative needs, or whose needs relating to overall development, are of such a nature that additional supports are required for the child." sqref="F79" xr:uid="{361E8AF3-271E-42A4-ADDC-7BACDFB1CD9A}">
      <formula1>0</formula1>
      <formula2>F77</formula2>
    </dataValidation>
    <dataValidation type="whole" operator="greaterThanOrEqual" allowBlank="1" showInputMessage="1" showErrorMessage="1" error="Must be whole number, equal or larger than 0" sqref="F27 H27:I27" xr:uid="{44A00CF3-22CC-46F6-8347-5AC005E875EA}">
      <formula1>0</formula1>
    </dataValidation>
    <dataValidation type="whole" operator="greaterThanOrEqual" allowBlank="1" showInputMessage="1" showErrorMessage="1" error="Must be a number greater than or equal to 0" sqref="I21:I26 F21:F26" xr:uid="{EEC01A84-C601-4DC1-9C77-ABE2D92ADE09}">
      <formula1>0</formula1>
    </dataValidation>
    <dataValidation allowBlank="1" showInputMessage="1" showErrorMessage="1" prompt="For example, 10 infant operating spaces for 200 service days and 5 infant operating spaces for 100 service days would be (10X20)+(5X100) = 2,500 infant operating space-days" sqref="F20" xr:uid="{A75269DF-F43E-4CE9-8B3B-38B484177FF6}"/>
    <dataValidation allowBlank="1" showInputMessage="1" showErrorMessage="1" prompt="For example, 10 infant licensed spaces for 200 service days and 5 infant licensed spaces for 100 service days would be (10X20)+(5X100) = 2,500 infant licensed space-days" sqref="I20" xr:uid="{1019153D-83EA-44A7-89DA-A205783AD7AA}"/>
    <dataValidation type="whole" allowBlank="1" showInputMessage="1" showErrorMessage="1" error="Must be greater than zero and less than  365" sqref="G18:H18" xr:uid="{483BA85B-F815-4987-84E4-9A2583AF433C}">
      <formula1>0</formula1>
      <formula2>365</formula2>
    </dataValidation>
    <dataValidation type="date" allowBlank="1" showInputMessage="1" showErrorMessage="1" error="Date must between April 1st, 2022 and December 31, 2025" prompt="(yyyy-mm-dd)" sqref="G11:G12" xr:uid="{C6C01463-C19A-48D9-BCAA-92D19FDCDA59}">
      <formula1>44652</formula1>
      <formula2>46022</formula2>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8" xr:uid="{7B8ED257-6C54-4979-AE31-7ED27883955D}">
      <formula1>0</formula1>
      <formula2>365</formula2>
    </dataValidation>
    <dataValidation type="list" allowBlank="1" showInputMessage="1" showErrorMessage="1" error="Please select from drop-down list" sqref="F12" xr:uid="{5AADFBB8-92AE-43E1-B751-73305AF46AAE}">
      <formula1>SSMs</formula1>
    </dataValidation>
    <dataValidation type="date" allowBlank="1" showInputMessage="1" showErrorMessage="1" error="Date must be between April 1st, 2022 and December 31, 2025" prompt="(yyyy-mm-dd)" sqref="F11" xr:uid="{CA3FC54A-6D65-4F44-8495-843AEC398C1F}">
      <formula1>44652</formula1>
      <formula2>46022</formula2>
    </dataValidation>
  </dataValidations>
  <hyperlinks>
    <hyperlink ref="I82" r:id="rId1" display="navdip_atwal@hotmail.com" xr:uid="{D70B4D33-E530-4839-88F8-02FE51CFD184}"/>
  </hyperlinks>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BBBB8-AFEE-4EC6-8D6B-8EA2DFAC5A74}">
  <sheetPr>
    <tabColor rgb="FFFFC000"/>
  </sheetPr>
  <dimension ref="A1:M114"/>
  <sheetViews>
    <sheetView showGridLines="0" workbookViewId="0">
      <selection activeCell="E20" sqref="E20"/>
    </sheetView>
  </sheetViews>
  <sheetFormatPr defaultColWidth="0" defaultRowHeight="15" zeroHeight="1"/>
  <cols>
    <col min="1" max="1" width="3.1796875" style="1" customWidth="1"/>
    <col min="2" max="2" width="8.453125" style="1" customWidth="1"/>
    <col min="3" max="3" width="106.54296875" style="1" customWidth="1"/>
    <col min="4" max="4" width="8.453125" style="198" bestFit="1" customWidth="1"/>
    <col min="5" max="5" width="32" style="183" customWidth="1"/>
    <col min="6" max="6" width="27.453125" style="184" customWidth="1"/>
    <col min="7" max="7" width="43.1796875" style="1" hidden="1" customWidth="1"/>
    <col min="8" max="8" width="21.7265625" style="205" hidden="1" customWidth="1"/>
    <col min="9" max="9" width="7.1796875" style="1" hidden="1" customWidth="1"/>
    <col min="10" max="16384" width="9.1796875" style="1" hidden="1"/>
  </cols>
  <sheetData>
    <row r="1" spans="1:13" ht="26">
      <c r="A1" s="1211" t="s">
        <v>734</v>
      </c>
      <c r="B1" s="1210"/>
      <c r="C1" s="1210"/>
      <c r="D1" s="1210"/>
      <c r="E1" s="1210"/>
      <c r="F1" s="1210"/>
      <c r="G1" s="1210"/>
      <c r="H1" s="1210"/>
      <c r="I1" s="1210"/>
    </row>
    <row r="2" spans="1:13"/>
    <row r="3" spans="1:13" s="180" customFormat="1" ht="34.5" customHeight="1">
      <c r="A3" s="122" t="s">
        <v>487</v>
      </c>
      <c r="B3" s="123"/>
      <c r="C3" s="124"/>
      <c r="D3" s="179"/>
      <c r="E3" s="125"/>
      <c r="F3" s="126"/>
    </row>
    <row r="4" spans="1:13" ht="20">
      <c r="A4" s="181"/>
      <c r="B4" s="127"/>
      <c r="C4" s="127"/>
      <c r="D4" s="182"/>
      <c r="H4" s="1"/>
    </row>
    <row r="5" spans="1:13">
      <c r="A5" s="127"/>
      <c r="B5" s="127"/>
      <c r="C5" s="127"/>
      <c r="D5" s="182"/>
      <c r="H5" s="185"/>
    </row>
    <row r="6" spans="1:13" ht="17.5">
      <c r="B6" s="132" t="s">
        <v>488</v>
      </c>
      <c r="C6" s="133"/>
      <c r="D6" s="133"/>
      <c r="E6" s="133"/>
      <c r="F6" s="186"/>
      <c r="G6" s="186"/>
      <c r="H6" s="186"/>
      <c r="J6"/>
      <c r="K6" s="185"/>
      <c r="M6"/>
    </row>
    <row r="7" spans="1:13" ht="15.5">
      <c r="B7" s="187" t="s">
        <v>609</v>
      </c>
      <c r="C7" s="133"/>
      <c r="D7" s="133"/>
      <c r="E7" s="133"/>
      <c r="F7" s="186"/>
      <c r="G7" s="186"/>
      <c r="H7" s="186"/>
      <c r="J7"/>
      <c r="K7" s="185"/>
      <c r="L7" s="127"/>
      <c r="M7"/>
    </row>
    <row r="8" spans="1:13" s="134" customFormat="1">
      <c r="B8" s="135" t="s">
        <v>610</v>
      </c>
      <c r="C8" s="136"/>
      <c r="D8" s="136"/>
      <c r="E8" s="188" t="s">
        <v>726</v>
      </c>
      <c r="G8" s="189"/>
      <c r="H8" s="189"/>
      <c r="I8" s="1"/>
      <c r="L8" s="190"/>
    </row>
    <row r="9" spans="1:13" s="134" customFormat="1">
      <c r="B9" s="135" t="s">
        <v>301</v>
      </c>
      <c r="C9" s="136"/>
      <c r="D9" s="191" t="s">
        <v>491</v>
      </c>
      <c r="E9" s="882">
        <f>'A6c. Operations-Site 3'!F7</f>
        <v>0</v>
      </c>
      <c r="G9" s="193"/>
      <c r="H9" s="193"/>
      <c r="I9" s="1"/>
      <c r="K9" s="194"/>
      <c r="L9" s="190"/>
    </row>
    <row r="10" spans="1:13" s="134" customFormat="1">
      <c r="B10" s="135" t="s">
        <v>492</v>
      </c>
      <c r="D10" s="191" t="s">
        <v>493</v>
      </c>
      <c r="E10" s="192">
        <f>'A11.SFR&amp; Attestation Site 3'!F9</f>
        <v>0</v>
      </c>
      <c r="G10" s="193"/>
      <c r="H10" s="193"/>
      <c r="K10" s="194"/>
    </row>
    <row r="11" spans="1:13" s="134" customFormat="1">
      <c r="B11" s="135" t="s">
        <v>611</v>
      </c>
      <c r="C11" s="136"/>
      <c r="D11" s="191" t="s">
        <v>502</v>
      </c>
      <c r="E11" s="192">
        <v>2025</v>
      </c>
      <c r="G11" s="195"/>
      <c r="H11" s="195"/>
      <c r="I11" s="1"/>
      <c r="L11" s="190"/>
    </row>
    <row r="12" spans="1:13" ht="7.5" customHeight="1">
      <c r="C12" s="148"/>
      <c r="D12" s="182"/>
      <c r="E12" s="196"/>
      <c r="F12" s="528"/>
      <c r="H12" s="185"/>
    </row>
    <row r="13" spans="1:13">
      <c r="A13" s="127"/>
      <c r="B13" s="197" t="s">
        <v>612</v>
      </c>
      <c r="F13" s="528"/>
      <c r="H13" s="185"/>
    </row>
    <row r="14" spans="1:13">
      <c r="A14" s="127"/>
      <c r="B14" s="187" t="s">
        <v>613</v>
      </c>
      <c r="F14" s="528"/>
      <c r="H14" s="185"/>
    </row>
    <row r="15" spans="1:13" ht="30">
      <c r="B15" s="199"/>
      <c r="C15" s="200" t="s">
        <v>614</v>
      </c>
      <c r="D15" s="201" t="s">
        <v>615</v>
      </c>
      <c r="E15" s="974">
        <f>'A2.Allocation &amp; Operating Plan'!G24</f>
        <v>0</v>
      </c>
      <c r="F15" s="988"/>
      <c r="H15" s="185"/>
    </row>
    <row r="16" spans="1:13">
      <c r="B16" s="203"/>
      <c r="C16" s="194" t="s">
        <v>616</v>
      </c>
      <c r="D16" s="201" t="s">
        <v>617</v>
      </c>
      <c r="E16" s="974">
        <f>'A3. Peel Region Grants'!F70+'A3. Peel Region Grants'!F111</f>
        <v>0</v>
      </c>
      <c r="F16" s="989"/>
      <c r="H16" s="185"/>
    </row>
    <row r="17" spans="1:9" ht="7.5" customHeight="1">
      <c r="C17" s="148"/>
      <c r="D17" s="182"/>
      <c r="E17" s="196"/>
      <c r="F17" s="528"/>
      <c r="H17" s="185"/>
    </row>
    <row r="18" spans="1:9">
      <c r="A18" s="127"/>
      <c r="B18" s="187" t="s">
        <v>618</v>
      </c>
      <c r="F18" s="528"/>
      <c r="H18" s="185"/>
    </row>
    <row r="19" spans="1:9">
      <c r="A19" s="127"/>
      <c r="B19" s="187" t="s">
        <v>619</v>
      </c>
      <c r="F19" s="528"/>
      <c r="H19" s="185"/>
    </row>
    <row r="20" spans="1:9">
      <c r="A20" s="127"/>
      <c r="B20" s="203"/>
      <c r="C20" s="135" t="s">
        <v>620</v>
      </c>
      <c r="D20" s="163" t="s">
        <v>621</v>
      </c>
      <c r="E20" s="975">
        <f>'A2.Allocation &amp; Operating Plan'!G13+'A2.Allocation &amp; Operating Plan'!G14+'A2.Allocation &amp; Operating Plan'!G15+'A2.Allocation &amp; Operating Plan'!G16+'A2.Allocation &amp; Operating Plan'!G17</f>
        <v>0</v>
      </c>
      <c r="F20" s="990"/>
    </row>
    <row r="21" spans="1:9">
      <c r="A21" s="127"/>
      <c r="B21" s="151"/>
      <c r="C21" s="206" t="s">
        <v>622</v>
      </c>
      <c r="D21" s="163" t="s">
        <v>623</v>
      </c>
      <c r="E21" s="975">
        <f>'A2.Allocation &amp; Operating Plan'!G18</f>
        <v>0</v>
      </c>
      <c r="F21" s="990"/>
      <c r="G21" s="207"/>
      <c r="H21" s="207"/>
      <c r="I21" s="207"/>
    </row>
    <row r="22" spans="1:9">
      <c r="A22" s="127"/>
      <c r="B22" s="151"/>
      <c r="C22" s="206" t="s">
        <v>624</v>
      </c>
      <c r="D22" s="163" t="s">
        <v>625</v>
      </c>
      <c r="E22" s="975">
        <f>'A2.Allocation &amp; Operating Plan'!G19</f>
        <v>0</v>
      </c>
      <c r="F22" s="990"/>
      <c r="G22" s="207"/>
      <c r="H22" s="207"/>
      <c r="I22" s="207"/>
    </row>
    <row r="23" spans="1:9">
      <c r="A23" s="127"/>
      <c r="B23" s="151"/>
      <c r="C23" s="208" t="s">
        <v>626</v>
      </c>
      <c r="D23" s="209"/>
      <c r="E23" s="210">
        <f>SUM(E20:E22)</f>
        <v>0</v>
      </c>
      <c r="F23" s="990"/>
      <c r="H23" s="1"/>
    </row>
    <row r="24" spans="1:9">
      <c r="B24" s="151"/>
      <c r="C24" s="206" t="s">
        <v>627</v>
      </c>
      <c r="D24" s="163" t="s">
        <v>628</v>
      </c>
      <c r="E24" s="975">
        <f>'A2.Allocation &amp; Operating Plan'!G23</f>
        <v>0</v>
      </c>
      <c r="F24" s="990"/>
      <c r="H24" s="185"/>
    </row>
    <row r="25" spans="1:9">
      <c r="B25" s="151"/>
      <c r="C25" s="206" t="s">
        <v>629</v>
      </c>
      <c r="D25" s="163" t="s">
        <v>630</v>
      </c>
      <c r="E25" s="975">
        <f>'A2.Allocation &amp; Operating Plan'!G21</f>
        <v>0</v>
      </c>
      <c r="F25" s="995"/>
      <c r="H25" s="185"/>
    </row>
    <row r="26" spans="1:9">
      <c r="A26" s="127"/>
      <c r="B26" s="151"/>
      <c r="C26" s="208" t="s">
        <v>631</v>
      </c>
      <c r="D26" s="209"/>
      <c r="E26" s="210">
        <f>SUM(E23:E25)</f>
        <v>0</v>
      </c>
      <c r="F26" s="996"/>
      <c r="H26" s="185"/>
    </row>
    <row r="27" spans="1:9">
      <c r="A27" s="148"/>
      <c r="B27" s="151"/>
      <c r="C27" s="213" t="s">
        <v>632</v>
      </c>
      <c r="D27" s="163" t="s">
        <v>633</v>
      </c>
      <c r="E27" s="975">
        <f>E16</f>
        <v>0</v>
      </c>
      <c r="F27" s="990"/>
      <c r="H27" s="185"/>
    </row>
    <row r="28" spans="1:9" ht="7.5" customHeight="1">
      <c r="C28" s="148"/>
      <c r="D28" s="182"/>
      <c r="E28" s="196"/>
      <c r="F28" s="528"/>
      <c r="H28" s="185"/>
    </row>
    <row r="29" spans="1:9">
      <c r="B29" s="214" t="s">
        <v>634</v>
      </c>
      <c r="E29" s="196"/>
      <c r="F29" s="997"/>
      <c r="H29" s="185"/>
    </row>
    <row r="30" spans="1:9">
      <c r="B30" s="187" t="s">
        <v>635</v>
      </c>
      <c r="E30" s="2"/>
      <c r="F30" s="528"/>
      <c r="G30" s="216"/>
      <c r="H30" s="216"/>
    </row>
    <row r="31" spans="1:9">
      <c r="B31" s="157"/>
      <c r="C31" s="217" t="s">
        <v>636</v>
      </c>
      <c r="D31" s="218"/>
      <c r="E31" s="219">
        <f>'A11.SFR&amp; Attestation Site 3'!F73</f>
        <v>0</v>
      </c>
      <c r="F31" s="751"/>
      <c r="G31" s="216"/>
      <c r="H31" s="216"/>
    </row>
    <row r="32" spans="1:9" ht="19" customHeight="1">
      <c r="B32" s="157"/>
      <c r="C32" s="220" t="s">
        <v>637</v>
      </c>
      <c r="D32" s="221"/>
      <c r="E32" s="222">
        <f>ProgramCostsAllocation</f>
        <v>0</v>
      </c>
      <c r="F32" s="204"/>
      <c r="G32" s="216"/>
      <c r="H32" s="216"/>
    </row>
    <row r="33" spans="1:8">
      <c r="B33" s="203"/>
      <c r="C33" s="223" t="s">
        <v>638</v>
      </c>
      <c r="D33" s="163" t="s">
        <v>639</v>
      </c>
      <c r="E33" s="224">
        <f>MIN(E31,E32)</f>
        <v>0</v>
      </c>
      <c r="F33" s="204"/>
      <c r="G33" s="216"/>
      <c r="H33" s="216"/>
    </row>
    <row r="34" spans="1:8" ht="7.5" customHeight="1">
      <c r="C34" s="148"/>
      <c r="D34" s="182"/>
      <c r="E34" s="196"/>
      <c r="H34" s="185"/>
    </row>
    <row r="35" spans="1:8">
      <c r="B35" s="214" t="s">
        <v>640</v>
      </c>
      <c r="C35" s="148"/>
      <c r="D35" s="182"/>
      <c r="E35" s="196"/>
      <c r="G35" s="216"/>
      <c r="H35" s="216"/>
    </row>
    <row r="36" spans="1:8">
      <c r="B36" s="187" t="s">
        <v>641</v>
      </c>
      <c r="E36" s="196"/>
      <c r="G36" s="216"/>
      <c r="H36" s="216"/>
    </row>
    <row r="37" spans="1:8" s="134" customFormat="1">
      <c r="C37" s="220" t="s">
        <v>642</v>
      </c>
      <c r="D37" s="221"/>
      <c r="E37" s="225">
        <f>4.25%*ActualProgramCosts</f>
        <v>0</v>
      </c>
      <c r="F37" s="212"/>
      <c r="G37" s="226"/>
      <c r="H37" s="226"/>
    </row>
    <row r="38" spans="1:8" s="134" customFormat="1" ht="30">
      <c r="C38" s="220" t="s">
        <v>643</v>
      </c>
      <c r="D38" s="221"/>
      <c r="E38" s="225">
        <f>3.5%*MIN(ActualProgramCosts,BenchmarkAllocation)</f>
        <v>0</v>
      </c>
      <c r="F38" s="204"/>
      <c r="G38" s="226"/>
      <c r="H38" s="226"/>
    </row>
    <row r="39" spans="1:8" s="134" customFormat="1" ht="30">
      <c r="C39" s="220" t="s">
        <v>644</v>
      </c>
      <c r="D39" s="221"/>
      <c r="E39" s="227">
        <f>+'A6c. Operations-Site 3'!D192</f>
        <v>0</v>
      </c>
      <c r="F39" s="228"/>
      <c r="G39" s="229"/>
      <c r="H39" s="229"/>
    </row>
    <row r="40" spans="1:8">
      <c r="B40" s="230"/>
      <c r="C40" s="231" t="s">
        <v>645</v>
      </c>
      <c r="D40" s="163" t="s">
        <v>646</v>
      </c>
      <c r="E40" s="232">
        <f>ROUND(SUM(E37:E39),0)</f>
        <v>0</v>
      </c>
      <c r="F40" s="204"/>
      <c r="G40" s="233"/>
      <c r="H40" s="233"/>
    </row>
    <row r="41" spans="1:8" ht="7.5" customHeight="1">
      <c r="C41" s="148"/>
      <c r="D41" s="182"/>
      <c r="E41" s="196"/>
      <c r="H41" s="185"/>
    </row>
    <row r="42" spans="1:8">
      <c r="B42" s="214" t="s">
        <v>647</v>
      </c>
      <c r="C42" s="148"/>
      <c r="D42" s="182"/>
      <c r="E42" s="196"/>
      <c r="H42" s="185"/>
    </row>
    <row r="43" spans="1:8">
      <c r="B43" s="187" t="s">
        <v>648</v>
      </c>
      <c r="E43" s="2"/>
      <c r="H43" s="185"/>
    </row>
    <row r="44" spans="1:8">
      <c r="B44" s="234"/>
      <c r="C44" s="1" t="s">
        <v>649</v>
      </c>
      <c r="E44" s="235">
        <f>'A11.SFR&amp; Attestation Site 3'!F32</f>
        <v>0</v>
      </c>
      <c r="F44" s="204"/>
      <c r="H44" s="185"/>
    </row>
    <row r="45" spans="1:8">
      <c r="B45" s="234"/>
      <c r="C45" s="1" t="s">
        <v>650</v>
      </c>
      <c r="E45" s="235">
        <f>'A11.SFR&amp; Attestation Site 3'!F33</f>
        <v>0</v>
      </c>
      <c r="F45" s="204"/>
      <c r="H45" s="185"/>
    </row>
    <row r="46" spans="1:8">
      <c r="B46" s="234"/>
      <c r="C46" s="1" t="s">
        <v>651</v>
      </c>
      <c r="E46" s="235">
        <f>-E25</f>
        <v>0</v>
      </c>
      <c r="F46" s="236"/>
      <c r="H46" s="185"/>
    </row>
    <row r="47" spans="1:8">
      <c r="A47" s="148"/>
      <c r="B47" s="203"/>
      <c r="C47" s="231" t="s">
        <v>652</v>
      </c>
      <c r="D47" s="163" t="s">
        <v>653</v>
      </c>
      <c r="E47" s="232">
        <f>MAX(E46,E44+E45)</f>
        <v>0</v>
      </c>
      <c r="F47" s="204"/>
      <c r="H47" s="185"/>
    </row>
    <row r="48" spans="1:8" ht="7.5" customHeight="1">
      <c r="C48" s="148"/>
      <c r="D48" s="182"/>
      <c r="E48" s="196"/>
      <c r="H48" s="185"/>
    </row>
    <row r="49" spans="1:8">
      <c r="A49" s="148"/>
      <c r="B49" s="214" t="s">
        <v>654</v>
      </c>
      <c r="C49" s="148"/>
      <c r="D49" s="182"/>
      <c r="E49" s="237"/>
      <c r="H49" s="185"/>
    </row>
    <row r="50" spans="1:8">
      <c r="A50" s="148"/>
      <c r="B50" s="187" t="s">
        <v>655</v>
      </c>
      <c r="C50" s="148"/>
      <c r="D50" s="182"/>
      <c r="E50" s="237"/>
      <c r="H50" s="185"/>
    </row>
    <row r="51" spans="1:8">
      <c r="A51" s="148"/>
      <c r="B51" s="214"/>
      <c r="C51" s="1" t="s">
        <v>533</v>
      </c>
      <c r="E51" s="222">
        <f>+E33</f>
        <v>0</v>
      </c>
      <c r="F51" s="204"/>
      <c r="H51" s="185"/>
    </row>
    <row r="52" spans="1:8">
      <c r="A52" s="148"/>
      <c r="B52" s="214"/>
      <c r="C52" s="1" t="s">
        <v>656</v>
      </c>
      <c r="E52" s="222">
        <f>+E40</f>
        <v>0</v>
      </c>
      <c r="F52" s="204"/>
      <c r="H52" s="185"/>
    </row>
    <row r="53" spans="1:8">
      <c r="A53" s="148"/>
      <c r="B53" s="214"/>
      <c r="C53" s="1" t="s">
        <v>657</v>
      </c>
      <c r="E53" s="235">
        <f>-E47</f>
        <v>0</v>
      </c>
      <c r="F53" s="236"/>
      <c r="H53" s="185"/>
    </row>
    <row r="54" spans="1:8">
      <c r="B54" s="203"/>
      <c r="C54" s="231" t="s">
        <v>658</v>
      </c>
      <c r="D54" s="163" t="s">
        <v>659</v>
      </c>
      <c r="E54" s="232">
        <f>SUM(E51:E53)</f>
        <v>0</v>
      </c>
      <c r="F54" s="204"/>
      <c r="H54" s="185"/>
    </row>
    <row r="55" spans="1:8" ht="7.5" customHeight="1">
      <c r="C55" s="148"/>
      <c r="D55" s="182"/>
      <c r="E55" s="196"/>
      <c r="H55" s="185"/>
    </row>
    <row r="56" spans="1:8">
      <c r="A56" s="148"/>
      <c r="B56" s="238" t="s">
        <v>660</v>
      </c>
      <c r="C56" s="239"/>
      <c r="D56" s="240"/>
      <c r="E56" s="202"/>
      <c r="H56" s="185"/>
    </row>
    <row r="57" spans="1:8">
      <c r="A57" s="148"/>
      <c r="B57" s="187" t="s">
        <v>661</v>
      </c>
      <c r="C57" s="239"/>
      <c r="D57" s="240"/>
      <c r="E57" s="241"/>
      <c r="H57" s="185"/>
    </row>
    <row r="58" spans="1:8">
      <c r="C58" s="242" t="s">
        <v>662</v>
      </c>
      <c r="E58" s="222">
        <f>+E15</f>
        <v>0</v>
      </c>
      <c r="F58" s="204"/>
      <c r="H58" s="185"/>
    </row>
    <row r="59" spans="1:8">
      <c r="B59" s="203"/>
      <c r="C59" s="242" t="s">
        <v>663</v>
      </c>
      <c r="E59" s="222">
        <f>+E54</f>
        <v>0</v>
      </c>
      <c r="F59" s="204"/>
      <c r="H59" s="185"/>
    </row>
    <row r="60" spans="1:8">
      <c r="B60" s="203"/>
      <c r="C60" s="231" t="str" cm="1">
        <f t="array" ref="C60">+_xlfn.IFS(E60=0,"= No amount due", E60&lt;0,"= Payable to the licensee in respect Actual Cost-Based Funding", 1,"= Overpayment. Amount payable to the CMSM/DSSAB in respect of Actual Cost-Based Funding")</f>
        <v>= No amount due</v>
      </c>
      <c r="D60" s="163" t="s">
        <v>664</v>
      </c>
      <c r="E60" s="232">
        <f>ROUND(E58-E59,2)</f>
        <v>0</v>
      </c>
      <c r="F60" s="204"/>
      <c r="G60" s="202"/>
      <c r="H60" s="185"/>
    </row>
    <row r="61" spans="1:8" ht="12.75" customHeight="1">
      <c r="C61" s="148"/>
      <c r="D61" s="182"/>
      <c r="E61" s="196"/>
      <c r="H61" s="185"/>
    </row>
    <row r="62" spans="1:8" ht="15.75" customHeight="1">
      <c r="A62" s="148"/>
      <c r="B62" s="187" t="s">
        <v>665</v>
      </c>
      <c r="C62" s="239"/>
      <c r="D62" s="240"/>
      <c r="E62" s="241"/>
      <c r="F62" s="1212" t="str">
        <f>IF('A3. Peel Region Grants'!I76&gt;0,"Deferred revenue and amount spent being added as spent until recon completed."," ")</f>
        <v xml:space="preserve"> </v>
      </c>
      <c r="H62" s="185"/>
    </row>
    <row r="63" spans="1:8" ht="15.75" customHeight="1">
      <c r="B63" s="243"/>
      <c r="C63" s="185" t="s">
        <v>666</v>
      </c>
      <c r="D63" s="244"/>
      <c r="E63" s="222">
        <f>'A11.SFR&amp; Attestation Site 3'!F75</f>
        <v>0</v>
      </c>
      <c r="F63" s="1212"/>
      <c r="H63" s="156"/>
    </row>
    <row r="64" spans="1:8">
      <c r="A64" s="148"/>
      <c r="B64" s="245"/>
      <c r="C64" s="185" t="s">
        <v>667</v>
      </c>
      <c r="D64" s="244"/>
      <c r="E64" s="222">
        <f>+E27</f>
        <v>0</v>
      </c>
      <c r="F64" s="1212"/>
      <c r="H64" s="246"/>
    </row>
    <row r="65" spans="1:8">
      <c r="B65" s="160"/>
      <c r="C65" s="247" t="s">
        <v>668</v>
      </c>
      <c r="D65" s="163" t="s">
        <v>669</v>
      </c>
      <c r="E65" s="248">
        <f>MIN(E64,E63)</f>
        <v>0</v>
      </c>
      <c r="F65" s="1212"/>
      <c r="H65" s="156"/>
    </row>
    <row r="66" spans="1:8">
      <c r="B66" s="249"/>
      <c r="C66" s="194" t="s">
        <v>670</v>
      </c>
      <c r="D66" s="244"/>
      <c r="E66" s="222">
        <f>+E16</f>
        <v>0</v>
      </c>
      <c r="F66" s="1212"/>
      <c r="H66" s="246"/>
    </row>
    <row r="67" spans="1:8">
      <c r="B67" s="251"/>
      <c r="C67" s="252" t="str" cm="1">
        <f t="array" ref="C67">+_xlfn.IFS(E67=0,"= No amount due",E67&lt;0,"= Payable to the licensee in respect Actual Cost-Based Funding",1, "= Overpayment. Amount payable to the CMSM/DSSAB in respect of one-time, unexpected cost")</f>
        <v>= No amount due</v>
      </c>
      <c r="D67" s="163" t="s">
        <v>671</v>
      </c>
      <c r="E67" s="232">
        <f>+E66-E65</f>
        <v>0</v>
      </c>
      <c r="F67" s="250"/>
      <c r="G67" s="202"/>
      <c r="H67" s="210"/>
    </row>
    <row r="68" spans="1:8">
      <c r="B68" s="251"/>
      <c r="D68" s="527"/>
      <c r="E68" s="1"/>
      <c r="F68" s="250"/>
      <c r="G68" s="202"/>
      <c r="H68" s="210"/>
    </row>
    <row r="69" spans="1:8" ht="16.5" customHeight="1">
      <c r="C69" s="148"/>
      <c r="D69" s="182"/>
      <c r="E69" s="196"/>
      <c r="H69" s="185"/>
    </row>
    <row r="70" spans="1:8">
      <c r="A70" s="148"/>
      <c r="B70" s="187" t="s">
        <v>672</v>
      </c>
      <c r="C70" s="239"/>
      <c r="D70" s="240"/>
      <c r="E70" s="241"/>
      <c r="H70" s="185"/>
    </row>
    <row r="71" spans="1:8" ht="20">
      <c r="C71" s="253" t="str" cm="1">
        <f t="array" ref="C71">+_xlfn.IFS(E60=0,"= No amount due",E60&lt;0,"= Payable to the licensee",1,"= Overpayment payable to the CMSM/DSSAB")</f>
        <v>= No amount due</v>
      </c>
      <c r="D71" s="254"/>
      <c r="E71" s="255">
        <f>ROUND(IF(SUM(E15:E16,E20:E22,E24:E25,E27)=0,0,E60+E67),2)</f>
        <v>0</v>
      </c>
      <c r="F71" s="256"/>
    </row>
    <row r="72" spans="1:8" ht="18" customHeight="1">
      <c r="C72" s="148"/>
      <c r="D72" s="182"/>
      <c r="E72" s="196"/>
      <c r="H72" s="185"/>
    </row>
    <row r="73" spans="1:8">
      <c r="A73" s="148"/>
      <c r="B73" s="238" t="s">
        <v>673</v>
      </c>
      <c r="C73" s="257"/>
      <c r="D73" s="258"/>
      <c r="E73" s="259"/>
      <c r="G73" s="217"/>
      <c r="H73" s="185"/>
    </row>
    <row r="74" spans="1:8">
      <c r="A74" s="148"/>
      <c r="B74" s="187" t="s">
        <v>674</v>
      </c>
      <c r="C74" s="257"/>
      <c r="D74" s="258"/>
      <c r="E74" s="259"/>
      <c r="G74" s="217"/>
      <c r="H74" s="185"/>
    </row>
    <row r="75" spans="1:8">
      <c r="A75" s="148"/>
      <c r="B75" s="238"/>
      <c r="C75" s="242" t="s">
        <v>675</v>
      </c>
      <c r="D75" s="258"/>
      <c r="E75" s="260">
        <f>+ActualProgramCosts</f>
        <v>0</v>
      </c>
      <c r="G75" s="217"/>
      <c r="H75" s="185"/>
    </row>
    <row r="76" spans="1:8">
      <c r="A76" s="148"/>
      <c r="B76" s="238"/>
      <c r="C76" s="242" t="str">
        <f>+C20</f>
        <v>Benchmark Allocation</v>
      </c>
      <c r="D76" s="258"/>
      <c r="E76" s="260">
        <f>+BenchmarkAllocation</f>
        <v>0</v>
      </c>
      <c r="G76" s="217"/>
      <c r="H76" s="185"/>
    </row>
    <row r="77" spans="1:8">
      <c r="A77" s="127" t="s">
        <v>834</v>
      </c>
      <c r="B77" s="261"/>
      <c r="C77" s="262" t="s">
        <v>736</v>
      </c>
      <c r="D77" s="163" t="s">
        <v>676</v>
      </c>
      <c r="E77" s="263" t="e" cm="1">
        <f t="array" ref="E77">_xlfn.IFS(BenchmarkAllocation="","",ActualProgramCosts-BenchmarkAllocation&lt;0,0,1,ROUND((ActualProgramCosts-BenchmarkAllocation)/BenchmarkAllocation,4))</f>
        <v>#DIV/0!</v>
      </c>
      <c r="F77" s="264"/>
      <c r="G77" s="265"/>
      <c r="H77" s="266"/>
    </row>
    <row r="78" spans="1:8" ht="7.5" customHeight="1">
      <c r="C78" s="148"/>
      <c r="D78" s="182"/>
      <c r="E78" s="196"/>
      <c r="H78" s="185"/>
    </row>
    <row r="79" spans="1:8">
      <c r="B79" s="187" t="s">
        <v>677</v>
      </c>
      <c r="D79" s="267" t="s">
        <v>678</v>
      </c>
      <c r="E79" s="268"/>
      <c r="F79" s="528"/>
    </row>
    <row r="80" spans="1:8"/>
    <row r="81"/>
    <row r="82"/>
    <row r="83"/>
    <row r="94"/>
    <row r="95"/>
    <row r="96"/>
    <row r="97"/>
    <row r="98"/>
    <row r="99"/>
    <row r="106"/>
    <row r="107"/>
    <row r="108"/>
    <row r="109"/>
    <row r="110"/>
    <row r="111"/>
    <row r="112"/>
    <row r="113"/>
    <row r="114"/>
  </sheetData>
  <sheetProtection algorithmName="SHA-512" hashValue="hzbjy7CXlFSSoWM2jnNtx676y/BF3ntBtwiSvTNV44IBxrCycmwrb84ucuWGBdYD0XReNEoKnqtAWLEi7HFZUg==" saltValue="ZZTqE+YgZOF4W5gRAt9kFw==" spinCount="100000" sheet="1" objects="1" scenarios="1"/>
  <mergeCells count="2">
    <mergeCell ref="A1:I1"/>
    <mergeCell ref="F62:F66"/>
  </mergeCells>
  <conditionalFormatting sqref="E8:E11 G8:H11">
    <cfRule type="cellIs" dxfId="67" priority="3" operator="notEqual">
      <formula>""</formula>
    </cfRule>
  </conditionalFormatting>
  <conditionalFormatting sqref="E15:E16">
    <cfRule type="notContainsBlanks" dxfId="66" priority="1">
      <formula>LEN(TRIM(E15))&gt;0</formula>
    </cfRule>
  </conditionalFormatting>
  <conditionalFormatting sqref="E20:E22 E24:E25 E27">
    <cfRule type="notContainsBlanks" dxfId="65" priority="4">
      <formula>LEN(TRIM(E20))&gt;0</formula>
    </cfRule>
  </conditionalFormatting>
  <conditionalFormatting sqref="E79">
    <cfRule type="cellIs" dxfId="64" priority="2" operator="notEqual">
      <formula>""</formula>
    </cfRule>
  </conditionalFormatting>
  <dataValidations count="4">
    <dataValidation type="date" operator="greaterThanOrEqual" allowBlank="1" showInputMessage="1" showErrorMessage="1" error="Must be a date not earlier than today's date" sqref="E79" xr:uid="{29B3ED0A-C997-4189-A981-09D2B53FABDE}">
      <formula1>TODAY()</formula1>
    </dataValidation>
    <dataValidation type="decimal" operator="lessThan" allowBlank="1" showInputMessage="1" error="Must be an amount less than 0." sqref="E25" xr:uid="{825982C1-0970-4A93-9351-5213AC06C454}">
      <formula1>0</formula1>
    </dataValidation>
    <dataValidation type="decimal" operator="greaterThan" allowBlank="1" showInputMessage="1" error="Must be an amount greater than 0." sqref="E24 E15 E20:E22" xr:uid="{E5CA7287-976C-4B00-A1D9-0597057574AB}">
      <formula1>0</formula1>
    </dataValidation>
    <dataValidation type="decimal" operator="greaterThanOrEqual" allowBlank="1" showInputMessage="1" showErrorMessage="1" error="Must be an amount greater than or equal to 0." sqref="E27 E16" xr:uid="{0BC6CA55-B3CC-4842-92AA-8FEC7695D784}">
      <formula1>0</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2BB66-0145-47E3-9750-C98E1DE4A280}">
  <sheetPr>
    <tabColor theme="9" tint="0.59999389629810485"/>
  </sheetPr>
  <dimension ref="B1:XEN200"/>
  <sheetViews>
    <sheetView showGridLines="0" zoomScale="85" zoomScaleNormal="85" workbookViewId="0">
      <selection activeCell="F9" sqref="F9"/>
    </sheetView>
  </sheetViews>
  <sheetFormatPr defaultColWidth="9.1796875" defaultRowHeight="15.5" outlineLevelRow="1"/>
  <cols>
    <col min="1" max="1" width="3.453125" style="9" customWidth="1"/>
    <col min="2" max="2" width="86.7265625" style="9" customWidth="1"/>
    <col min="3" max="3" width="11.26953125" style="9" customWidth="1"/>
    <col min="4" max="4" width="20.7265625" style="9" customWidth="1"/>
    <col min="5" max="5" width="23" style="9" customWidth="1"/>
    <col min="6" max="6" width="23.7265625" style="9" customWidth="1"/>
    <col min="7" max="7" width="6.7265625" style="9" customWidth="1"/>
    <col min="8" max="8" width="74.453125" style="9" customWidth="1"/>
    <col min="9" max="9" width="9.453125" style="9" customWidth="1"/>
    <col min="10" max="10" width="9.1796875" style="9"/>
    <col min="11" max="11" width="17.54296875" style="9" customWidth="1"/>
    <col min="12" max="16384" width="9.1796875" style="9"/>
  </cols>
  <sheetData>
    <row r="1" spans="2:12 16363:16368" ht="21" customHeight="1">
      <c r="B1" s="1180" t="str">
        <f>IF('A1. Identification'!D7=0, "2025 FAIR, CWELCC and OTEF Reconciliation for Multi Site Operators",'A1. Identification'!D7)</f>
        <v>2025 FAIR, CWELCC and OTEF Reconciliation for Multi Site Operators</v>
      </c>
      <c r="C1" s="1181"/>
      <c r="D1" s="1181"/>
      <c r="E1" s="1181"/>
      <c r="F1" s="1181"/>
      <c r="G1" s="443"/>
      <c r="K1" s="109" t="s">
        <v>109</v>
      </c>
      <c r="L1" s="110" t="str">
        <f>IF('A1. Identification'!$D$13=0, " ",'A1. Identification'!$D$13)</f>
        <v xml:space="preserve"> </v>
      </c>
    </row>
    <row r="2" spans="2:12 16363:16368" ht="19" customHeight="1">
      <c r="B2" s="1182" t="str">
        <f>IF('A1. Identification'!B6=0, " ", "Statement of Operations / Income Statement of "&amp; 'A2.Allocation &amp; Operating Plan'!$C$103)</f>
        <v xml:space="preserve">Statement of Operations / Income Statement of  </v>
      </c>
      <c r="C2" s="1091"/>
      <c r="D2" s="1091"/>
      <c r="E2" s="1091"/>
      <c r="F2" s="1091"/>
      <c r="G2" s="444"/>
      <c r="K2" s="109" t="s">
        <v>301</v>
      </c>
      <c r="L2" s="993">
        <f>F7</f>
        <v>0</v>
      </c>
    </row>
    <row r="3" spans="2:12 16363:16368" ht="17.5" customHeight="1" thickBot="1">
      <c r="B3" s="1183" t="s">
        <v>954</v>
      </c>
      <c r="C3" s="1184"/>
      <c r="D3" s="1184"/>
      <c r="E3" s="1184"/>
      <c r="F3" s="1184"/>
      <c r="G3" s="1185"/>
      <c r="H3" s="14"/>
    </row>
    <row r="4" spans="2:12 16363:16368" s="445" customFormat="1" ht="10.5" customHeight="1"/>
    <row r="5" spans="2:12 16363:16368" s="445" customFormat="1" ht="7.5" customHeight="1">
      <c r="B5" s="446"/>
    </row>
    <row r="6" spans="2:12 16363:16368" ht="21.75" customHeight="1" thickBot="1">
      <c r="B6" s="447" t="s">
        <v>852</v>
      </c>
      <c r="H6" s="14"/>
    </row>
    <row r="7" spans="2:12 16363:16368">
      <c r="B7" s="448" t="s">
        <v>724</v>
      </c>
      <c r="C7" s="449"/>
      <c r="D7" s="449"/>
      <c r="E7" s="449"/>
      <c r="F7" s="912">
        <f>'A2.Allocation &amp; Operating Plan'!H10</f>
        <v>0</v>
      </c>
      <c r="G7" s="106" t="s">
        <v>772</v>
      </c>
      <c r="H7" s="14"/>
    </row>
    <row r="8" spans="2:12 16363:16368">
      <c r="B8" s="78" t="s">
        <v>725</v>
      </c>
      <c r="F8" s="912">
        <f>'A2.Allocation &amp; Operating Plan'!H11</f>
        <v>0</v>
      </c>
      <c r="G8" s="106" t="s">
        <v>773</v>
      </c>
      <c r="H8" s="14"/>
    </row>
    <row r="9" spans="2:12 16363:16368">
      <c r="B9" s="78" t="s">
        <v>727</v>
      </c>
      <c r="F9" s="285"/>
      <c r="G9" s="106" t="s">
        <v>774</v>
      </c>
      <c r="H9" s="1186" t="s">
        <v>898</v>
      </c>
      <c r="I9" s="1187"/>
      <c r="XEI9" s="525" t="s">
        <v>309</v>
      </c>
      <c r="XEJ9" s="525"/>
      <c r="XEK9" s="525" t="s">
        <v>398</v>
      </c>
      <c r="XEL9" s="525"/>
      <c r="XEM9" s="525" t="s">
        <v>130</v>
      </c>
      <c r="XEN9" s="525" t="s">
        <v>305</v>
      </c>
    </row>
    <row r="10" spans="2:12 16363:16368" ht="15.5" customHeight="1">
      <c r="B10" s="78" t="s">
        <v>304</v>
      </c>
      <c r="F10" s="912">
        <f>'A2.Allocation &amp; Operating Plan'!I103</f>
        <v>0</v>
      </c>
      <c r="G10" s="106" t="s">
        <v>775</v>
      </c>
      <c r="H10" s="1186"/>
      <c r="I10" s="1187"/>
      <c r="XEI10" s="525" t="s">
        <v>310</v>
      </c>
      <c r="XEJ10" s="525"/>
      <c r="XEK10" s="525" t="s">
        <v>400</v>
      </c>
      <c r="XEL10" s="525"/>
      <c r="XEM10" s="525" t="s">
        <v>115</v>
      </c>
      <c r="XEN10" s="525" t="s">
        <v>307</v>
      </c>
    </row>
    <row r="11" spans="2:12 16363:16368" ht="15.5" customHeight="1">
      <c r="B11" s="78" t="s">
        <v>959</v>
      </c>
      <c r="C11" s="133"/>
      <c r="F11" s="284"/>
      <c r="G11" s="106" t="s">
        <v>776</v>
      </c>
      <c r="H11" s="1186"/>
      <c r="I11" s="1187"/>
      <c r="XEI11" s="525" t="s">
        <v>311</v>
      </c>
      <c r="XEJ11" s="525"/>
      <c r="XEK11" s="525" t="s">
        <v>399</v>
      </c>
      <c r="XEL11" s="525"/>
      <c r="XEM11" s="525"/>
      <c r="XEN11" s="525" t="s">
        <v>308</v>
      </c>
    </row>
    <row r="12" spans="2:12 16363:16368" ht="16" thickBot="1">
      <c r="B12" s="78" t="s">
        <v>392</v>
      </c>
      <c r="C12" s="14"/>
      <c r="D12" s="14"/>
      <c r="F12" s="436"/>
      <c r="G12" s="106" t="s">
        <v>777</v>
      </c>
      <c r="H12" s="1188"/>
      <c r="I12" s="1189"/>
      <c r="XEI12" s="525"/>
      <c r="XEJ12" s="525"/>
      <c r="XEK12" s="525" t="s">
        <v>91</v>
      </c>
      <c r="XEL12" s="525"/>
      <c r="XEM12" s="525"/>
      <c r="XEN12" s="525" t="s">
        <v>334</v>
      </c>
    </row>
    <row r="13" spans="2:12 16363:16368">
      <c r="B13" s="78" t="s">
        <v>835</v>
      </c>
      <c r="C13" s="14"/>
      <c r="D13" s="14"/>
      <c r="F13" s="436"/>
      <c r="G13" s="106" t="s">
        <v>778</v>
      </c>
      <c r="H13" s="866"/>
      <c r="I13" s="116" t="s">
        <v>860</v>
      </c>
      <c r="XEI13" s="525"/>
      <c r="XEJ13" s="525"/>
      <c r="XEK13" s="525"/>
      <c r="XEL13" s="525"/>
      <c r="XEM13" s="525"/>
      <c r="XEN13" s="525" t="s">
        <v>91</v>
      </c>
    </row>
    <row r="14" spans="2:12 16363:16368">
      <c r="B14" s="78" t="s">
        <v>897</v>
      </c>
      <c r="C14" s="14"/>
      <c r="D14" s="14"/>
      <c r="F14" s="436"/>
      <c r="G14" s="106" t="s">
        <v>779</v>
      </c>
      <c r="H14" s="867"/>
      <c r="I14" s="106" t="s">
        <v>895</v>
      </c>
    </row>
    <row r="15" spans="2:12 16363:16368" ht="16" thickBot="1">
      <c r="B15" s="450" t="s">
        <v>306</v>
      </c>
      <c r="C15" s="17"/>
      <c r="D15" s="451"/>
      <c r="E15" s="1190"/>
      <c r="F15" s="1191"/>
      <c r="G15" s="107" t="s">
        <v>859</v>
      </c>
      <c r="H15" s="868"/>
      <c r="I15" s="107" t="s">
        <v>896</v>
      </c>
    </row>
    <row r="16" spans="2:12 16363:16368" s="14" customFormat="1" ht="16" thickBot="1">
      <c r="G16" s="9"/>
      <c r="XEN16" s="9"/>
    </row>
    <row r="17" spans="2:8" ht="31.5" thickBot="1">
      <c r="B17" s="452" t="s">
        <v>175</v>
      </c>
      <c r="C17" s="65"/>
      <c r="D17" s="453" t="s">
        <v>172</v>
      </c>
      <c r="E17" s="454" t="s">
        <v>312</v>
      </c>
      <c r="F17" s="455" t="s">
        <v>313</v>
      </c>
      <c r="H17" s="86"/>
    </row>
    <row r="18" spans="2:8" ht="15.75" customHeight="1">
      <c r="B18" s="456" t="s">
        <v>422</v>
      </c>
      <c r="C18" s="457">
        <v>301</v>
      </c>
      <c r="D18" s="458">
        <f>E197-E187</f>
        <v>0</v>
      </c>
      <c r="E18" s="459">
        <f>D18</f>
        <v>0</v>
      </c>
      <c r="F18" s="460"/>
      <c r="H18" s="1192" t="s">
        <v>737</v>
      </c>
    </row>
    <row r="19" spans="2:8" ht="16" thickBot="1">
      <c r="B19" s="20" t="s">
        <v>819</v>
      </c>
      <c r="C19" s="461">
        <v>302</v>
      </c>
      <c r="D19" s="462">
        <f>E187</f>
        <v>0</v>
      </c>
      <c r="E19" s="463">
        <f>+D19</f>
        <v>0</v>
      </c>
      <c r="F19" s="464"/>
      <c r="H19" s="1193"/>
    </row>
    <row r="20" spans="2:8">
      <c r="B20" s="20" t="s">
        <v>836</v>
      </c>
      <c r="C20" s="461">
        <v>303</v>
      </c>
      <c r="D20" s="101"/>
      <c r="E20" s="27"/>
      <c r="F20" s="465">
        <f>+D20-E20</f>
        <v>0</v>
      </c>
      <c r="H20" s="117" t="str">
        <f>IF(AND(ISNUMBER(D20), ISBLANK(E20)), "Error: Missing 0-6 amount", "")</f>
        <v/>
      </c>
    </row>
    <row r="21" spans="2:8">
      <c r="B21" s="20" t="s">
        <v>820</v>
      </c>
      <c r="C21" s="461">
        <v>304</v>
      </c>
      <c r="D21" s="101"/>
      <c r="E21" s="101"/>
      <c r="F21" s="465">
        <f>+D21-E21</f>
        <v>0</v>
      </c>
      <c r="H21" s="117" t="str">
        <f>IF(AND(ISNUMBER(D21), ISBLANK(E21)), "Error: Missing 0-6 amount", "")</f>
        <v/>
      </c>
    </row>
    <row r="22" spans="2:8">
      <c r="B22" s="20" t="s">
        <v>423</v>
      </c>
      <c r="C22" s="461">
        <v>305</v>
      </c>
      <c r="D22" s="101"/>
      <c r="E22" s="931"/>
      <c r="F22" s="462">
        <f>D22</f>
        <v>0</v>
      </c>
    </row>
    <row r="23" spans="2:8" s="467" customFormat="1">
      <c r="B23" s="20" t="s">
        <v>385</v>
      </c>
      <c r="C23" s="461">
        <v>306</v>
      </c>
      <c r="D23" s="101"/>
      <c r="E23" s="463">
        <f>D23</f>
        <v>0</v>
      </c>
      <c r="F23" s="464"/>
    </row>
    <row r="24" spans="2:8">
      <c r="B24" s="20" t="s">
        <v>383</v>
      </c>
      <c r="C24" s="461">
        <v>307</v>
      </c>
      <c r="D24" s="101"/>
      <c r="E24" s="463"/>
      <c r="F24" s="465">
        <f>D24-E24</f>
        <v>0</v>
      </c>
      <c r="H24" s="555" t="s">
        <v>881</v>
      </c>
    </row>
    <row r="25" spans="2:8">
      <c r="B25" s="20" t="s">
        <v>808</v>
      </c>
      <c r="C25" s="461">
        <v>308</v>
      </c>
      <c r="D25" s="462">
        <f>'A3. Peel Region Grants'!G117</f>
        <v>0</v>
      </c>
      <c r="E25" s="463">
        <f>D25</f>
        <v>0</v>
      </c>
      <c r="F25" s="465">
        <f>D25-E25</f>
        <v>0</v>
      </c>
      <c r="H25" s="555" t="s">
        <v>881</v>
      </c>
    </row>
    <row r="26" spans="2:8" ht="15.75" hidden="1" customHeight="1">
      <c r="B26" s="20" t="s">
        <v>239</v>
      </c>
      <c r="C26" s="461">
        <v>309</v>
      </c>
      <c r="D26" s="929"/>
      <c r="E26" s="930"/>
      <c r="F26" s="465">
        <f>D26-E26</f>
        <v>0</v>
      </c>
      <c r="H26" s="12" t="s">
        <v>283</v>
      </c>
    </row>
    <row r="27" spans="2:8">
      <c r="B27" s="20" t="s">
        <v>809</v>
      </c>
      <c r="C27" s="461">
        <v>309</v>
      </c>
      <c r="D27" s="101"/>
      <c r="E27" s="27"/>
      <c r="F27" s="465">
        <f>D27-E27</f>
        <v>0</v>
      </c>
      <c r="H27" s="555" t="s">
        <v>881</v>
      </c>
    </row>
    <row r="28" spans="2:8">
      <c r="B28" s="419" t="s">
        <v>855</v>
      </c>
      <c r="C28" s="461">
        <v>310</v>
      </c>
      <c r="D28" s="101"/>
      <c r="E28" s="27"/>
      <c r="F28" s="465">
        <f>+D28-E28</f>
        <v>0</v>
      </c>
      <c r="H28" s="117" t="str">
        <f>IF(AND(ISNUMBER(D28), ISBLANK(E28)), "Error: Missing 0-6 amount", "")</f>
        <v/>
      </c>
    </row>
    <row r="29" spans="2:8">
      <c r="B29" s="419" t="s">
        <v>856</v>
      </c>
      <c r="C29" s="461">
        <v>311</v>
      </c>
      <c r="D29" s="101"/>
      <c r="E29" s="27"/>
      <c r="F29" s="465">
        <f>+D29-E29</f>
        <v>0</v>
      </c>
      <c r="H29" s="117" t="str">
        <f>IF(AND(ISNUMBER(D29), ISBLANK(E29)), "Error: Missing 0-6 amount", "")</f>
        <v/>
      </c>
    </row>
    <row r="30" spans="2:8" ht="16.5" customHeight="1" thickBot="1">
      <c r="B30" s="469" t="s">
        <v>176</v>
      </c>
      <c r="C30" s="470">
        <v>312</v>
      </c>
      <c r="D30" s="471">
        <f>SUM(D18:D29)</f>
        <v>0</v>
      </c>
      <c r="E30" s="472">
        <f>SUM(E18:E29)</f>
        <v>0</v>
      </c>
      <c r="F30" s="471">
        <f>SUM(F18:F29)</f>
        <v>0</v>
      </c>
      <c r="H30" s="513"/>
    </row>
    <row r="31" spans="2:8" ht="16.5" customHeight="1" thickBot="1">
      <c r="C31" s="473"/>
      <c r="D31" s="64"/>
      <c r="E31" s="64"/>
      <c r="F31" s="64"/>
    </row>
    <row r="32" spans="2:8" ht="18.5">
      <c r="B32" s="474" t="s">
        <v>419</v>
      </c>
      <c r="C32" s="65"/>
      <c r="D32" s="453" t="s">
        <v>172</v>
      </c>
      <c r="E32" s="453" t="s">
        <v>173</v>
      </c>
      <c r="F32" s="475" t="s">
        <v>174</v>
      </c>
    </row>
    <row r="33" spans="2:11" ht="16" thickBot="1">
      <c r="B33" s="476" t="s">
        <v>394</v>
      </c>
      <c r="C33" s="477"/>
      <c r="D33" s="478"/>
      <c r="E33" s="478" t="s">
        <v>803</v>
      </c>
      <c r="F33" s="479" t="s">
        <v>286</v>
      </c>
    </row>
    <row r="34" spans="2:11" ht="16.5" customHeight="1" thickBot="1">
      <c r="C34" s="17"/>
      <c r="D34" s="480"/>
      <c r="E34" s="481"/>
      <c r="H34" s="1194" t="s">
        <v>386</v>
      </c>
    </row>
    <row r="35" spans="2:11" ht="16" thickBot="1">
      <c r="B35" s="482" t="s">
        <v>469</v>
      </c>
      <c r="C35" s="483">
        <v>411</v>
      </c>
      <c r="D35" s="484">
        <f>+D37+D45+D53</f>
        <v>0</v>
      </c>
      <c r="E35" s="484">
        <f>+E37+E45+E53</f>
        <v>0</v>
      </c>
      <c r="F35" s="484">
        <f>+F37+F45+F53</f>
        <v>0</v>
      </c>
      <c r="H35" s="1195"/>
    </row>
    <row r="36" spans="2:11" ht="16.5" customHeight="1" thickBot="1">
      <c r="C36" s="473"/>
      <c r="D36" s="64"/>
      <c r="E36" s="64"/>
      <c r="F36" s="64"/>
    </row>
    <row r="37" spans="2:11" ht="16" thickBot="1">
      <c r="B37" s="114" t="s">
        <v>720</v>
      </c>
      <c r="C37" s="116" t="s">
        <v>40</v>
      </c>
      <c r="D37" s="484">
        <f>SUM(D38:D44)</f>
        <v>0</v>
      </c>
      <c r="E37" s="484">
        <f>SUM(E38:E44)</f>
        <v>0</v>
      </c>
      <c r="F37" s="484">
        <f>SUM(F38:F44)</f>
        <v>0</v>
      </c>
      <c r="H37" s="493"/>
      <c r="I37" s="9" t="str">
        <f t="shared" ref="I37:I52" si="0">IF(AND(ISNUMBER(D37), ISBLANK(E37)), "Error: Missing 0-6 amount", "")</f>
        <v/>
      </c>
    </row>
    <row r="38" spans="2:11" ht="14.5" customHeight="1">
      <c r="B38" s="278" t="s">
        <v>538</v>
      </c>
      <c r="C38" s="106" t="s">
        <v>41</v>
      </c>
      <c r="D38" s="546"/>
      <c r="E38" s="546"/>
      <c r="F38" s="545">
        <f t="shared" ref="F38:F44" si="1">+D38-E38</f>
        <v>0</v>
      </c>
      <c r="H38" s="437"/>
      <c r="I38" s="117" t="str">
        <f t="shared" si="0"/>
        <v/>
      </c>
      <c r="K38" s="10"/>
    </row>
    <row r="39" spans="2:11" ht="14.5" customHeight="1">
      <c r="B39" s="864" t="s">
        <v>882</v>
      </c>
      <c r="C39" s="112" t="s">
        <v>883</v>
      </c>
      <c r="D39" s="546"/>
      <c r="E39" s="546"/>
      <c r="F39" s="545">
        <f t="shared" si="1"/>
        <v>0</v>
      </c>
      <c r="H39" s="437"/>
      <c r="I39" s="117"/>
      <c r="K39" s="10"/>
    </row>
    <row r="40" spans="2:11">
      <c r="B40" s="278" t="s">
        <v>886</v>
      </c>
      <c r="C40" s="106" t="s">
        <v>42</v>
      </c>
      <c r="D40" s="546"/>
      <c r="E40" s="546"/>
      <c r="F40" s="485">
        <f t="shared" si="1"/>
        <v>0</v>
      </c>
      <c r="H40" s="437"/>
      <c r="I40" s="117" t="str">
        <f t="shared" si="0"/>
        <v/>
      </c>
      <c r="K40" s="10"/>
    </row>
    <row r="41" spans="2:11">
      <c r="B41" s="278" t="s">
        <v>837</v>
      </c>
      <c r="C41" s="106" t="s">
        <v>43</v>
      </c>
      <c r="D41" s="546"/>
      <c r="E41" s="546"/>
      <c r="F41" s="485">
        <f t="shared" si="1"/>
        <v>0</v>
      </c>
      <c r="H41" s="437"/>
      <c r="I41" s="117" t="str">
        <f t="shared" si="0"/>
        <v/>
      </c>
      <c r="K41" s="10"/>
    </row>
    <row r="42" spans="2:11">
      <c r="B42" s="278" t="s">
        <v>965</v>
      </c>
      <c r="C42" s="106" t="s">
        <v>787</v>
      </c>
      <c r="D42" s="546"/>
      <c r="E42" s="546"/>
      <c r="F42" s="485">
        <f t="shared" si="1"/>
        <v>0</v>
      </c>
      <c r="H42" s="437"/>
      <c r="I42" s="117" t="str">
        <f t="shared" si="0"/>
        <v/>
      </c>
      <c r="K42" s="10"/>
    </row>
    <row r="43" spans="2:11">
      <c r="B43" s="278" t="s">
        <v>544</v>
      </c>
      <c r="C43" s="112" t="s">
        <v>788</v>
      </c>
      <c r="D43" s="546"/>
      <c r="E43" s="546"/>
      <c r="F43" s="485">
        <f t="shared" si="1"/>
        <v>0</v>
      </c>
      <c r="H43" s="437"/>
      <c r="I43" s="117" t="str">
        <f t="shared" si="0"/>
        <v/>
      </c>
      <c r="K43" s="10"/>
    </row>
    <row r="44" spans="2:11" ht="16" thickBot="1">
      <c r="B44" s="523" t="s">
        <v>851</v>
      </c>
      <c r="C44" s="107" t="s">
        <v>939</v>
      </c>
      <c r="D44" s="546"/>
      <c r="E44" s="546"/>
      <c r="F44" s="487">
        <f t="shared" si="1"/>
        <v>0</v>
      </c>
      <c r="H44" s="438"/>
      <c r="I44" s="117" t="str">
        <f t="shared" si="0"/>
        <v/>
      </c>
      <c r="K44" s="10"/>
    </row>
    <row r="45" spans="2:11" ht="16" thickBot="1">
      <c r="B45" s="114" t="s">
        <v>550</v>
      </c>
      <c r="C45" s="105" t="s">
        <v>789</v>
      </c>
      <c r="D45" s="484">
        <f>SUM(D46:D52)</f>
        <v>0</v>
      </c>
      <c r="E45" s="484">
        <f>SUM(E46:E52)</f>
        <v>0</v>
      </c>
      <c r="F45" s="484">
        <f>SUM(F46:F52)</f>
        <v>0</v>
      </c>
      <c r="H45" s="493"/>
      <c r="I45" s="117" t="str">
        <f t="shared" si="0"/>
        <v/>
      </c>
    </row>
    <row r="46" spans="2:11">
      <c r="B46" s="278" t="s">
        <v>551</v>
      </c>
      <c r="C46" s="112" t="s">
        <v>790</v>
      </c>
      <c r="D46" s="546"/>
      <c r="E46" s="546"/>
      <c r="F46" s="545">
        <f t="shared" ref="F46:F52" si="2">+D46-E46</f>
        <v>0</v>
      </c>
      <c r="H46" s="439"/>
      <c r="I46" s="117" t="str">
        <f t="shared" si="0"/>
        <v/>
      </c>
      <c r="K46" s="10"/>
    </row>
    <row r="47" spans="2:11">
      <c r="B47" s="864" t="s">
        <v>885</v>
      </c>
      <c r="C47" s="112" t="s">
        <v>884</v>
      </c>
      <c r="D47" s="546"/>
      <c r="E47" s="546"/>
      <c r="F47" s="485">
        <f t="shared" si="2"/>
        <v>0</v>
      </c>
      <c r="H47" s="439"/>
      <c r="I47" s="117"/>
      <c r="K47" s="10"/>
    </row>
    <row r="48" spans="2:11">
      <c r="B48" s="278" t="s">
        <v>887</v>
      </c>
      <c r="C48" s="112" t="s">
        <v>791</v>
      </c>
      <c r="D48" s="546"/>
      <c r="E48" s="546"/>
      <c r="F48" s="485">
        <f t="shared" si="2"/>
        <v>0</v>
      </c>
      <c r="H48" s="439"/>
      <c r="I48" s="117" t="str">
        <f t="shared" si="0"/>
        <v/>
      </c>
      <c r="K48" s="10"/>
    </row>
    <row r="49" spans="2:11">
      <c r="B49" s="278" t="s">
        <v>838</v>
      </c>
      <c r="C49" s="112" t="s">
        <v>792</v>
      </c>
      <c r="D49" s="546"/>
      <c r="E49" s="546"/>
      <c r="F49" s="485">
        <f t="shared" si="2"/>
        <v>0</v>
      </c>
      <c r="H49" s="439"/>
      <c r="I49" s="117" t="str">
        <f t="shared" si="0"/>
        <v/>
      </c>
      <c r="K49" s="10"/>
    </row>
    <row r="50" spans="2:11">
      <c r="B50" s="278" t="s">
        <v>964</v>
      </c>
      <c r="C50" s="112" t="s">
        <v>793</v>
      </c>
      <c r="D50" s="546"/>
      <c r="E50" s="546"/>
      <c r="F50" s="485">
        <f t="shared" si="2"/>
        <v>0</v>
      </c>
      <c r="H50" s="439"/>
      <c r="I50" s="117" t="str">
        <f t="shared" si="0"/>
        <v/>
      </c>
      <c r="K50" s="10"/>
    </row>
    <row r="51" spans="2:11">
      <c r="B51" s="278" t="s">
        <v>557</v>
      </c>
      <c r="C51" s="112" t="s">
        <v>794</v>
      </c>
      <c r="D51" s="546"/>
      <c r="E51" s="546"/>
      <c r="F51" s="485">
        <f t="shared" si="2"/>
        <v>0</v>
      </c>
      <c r="H51" s="439"/>
      <c r="I51" s="117" t="str">
        <f t="shared" si="0"/>
        <v/>
      </c>
      <c r="K51" s="10"/>
    </row>
    <row r="52" spans="2:11" ht="16" thickBot="1">
      <c r="B52" s="523" t="s">
        <v>850</v>
      </c>
      <c r="C52" s="107" t="s">
        <v>795</v>
      </c>
      <c r="D52" s="546"/>
      <c r="E52" s="546"/>
      <c r="F52" s="487">
        <f t="shared" si="2"/>
        <v>0</v>
      </c>
      <c r="H52" s="438"/>
      <c r="I52" s="117" t="str">
        <f t="shared" si="0"/>
        <v/>
      </c>
      <c r="K52" s="10"/>
    </row>
    <row r="53" spans="2:11" ht="16" thickBot="1">
      <c r="B53" s="114" t="s">
        <v>721</v>
      </c>
      <c r="C53" s="105" t="s">
        <v>796</v>
      </c>
      <c r="D53" s="484">
        <f>SUM(D54:D60)</f>
        <v>0</v>
      </c>
      <c r="E53" s="484">
        <f>SUM(E54:E60)</f>
        <v>0</v>
      </c>
      <c r="F53" s="484">
        <f>SUM(F54:F60)</f>
        <v>0</v>
      </c>
      <c r="H53" s="493"/>
    </row>
    <row r="54" spans="2:11">
      <c r="B54" s="488" t="s">
        <v>812</v>
      </c>
      <c r="C54" s="112" t="s">
        <v>797</v>
      </c>
      <c r="D54" s="546"/>
      <c r="E54" s="546"/>
      <c r="F54" s="545">
        <f t="shared" ref="F54:F60" si="3">+D54-E54</f>
        <v>0</v>
      </c>
      <c r="H54" s="439"/>
      <c r="I54" s="117" t="str">
        <f t="shared" ref="I54:I59" si="4">IF(AND(ISNUMBER(D54), ISBLANK(E54)), "Error: Missing 0-6 amount", "")</f>
        <v/>
      </c>
      <c r="K54" s="10"/>
    </row>
    <row r="55" spans="2:11">
      <c r="B55" s="488" t="s">
        <v>813</v>
      </c>
      <c r="C55" s="112" t="s">
        <v>798</v>
      </c>
      <c r="D55" s="546"/>
      <c r="E55" s="546"/>
      <c r="F55" s="485">
        <f t="shared" si="3"/>
        <v>0</v>
      </c>
      <c r="H55" s="439"/>
      <c r="I55" s="117" t="str">
        <f t="shared" si="4"/>
        <v/>
      </c>
      <c r="K55" s="10"/>
    </row>
    <row r="56" spans="2:11">
      <c r="B56" s="489" t="s">
        <v>735</v>
      </c>
      <c r="C56" s="112" t="s">
        <v>799</v>
      </c>
      <c r="D56" s="546"/>
      <c r="E56" s="546"/>
      <c r="F56" s="485">
        <f t="shared" si="3"/>
        <v>0</v>
      </c>
      <c r="H56" s="439"/>
      <c r="I56" s="117" t="str">
        <f t="shared" si="4"/>
        <v/>
      </c>
      <c r="K56" s="10"/>
    </row>
    <row r="57" spans="2:11">
      <c r="B57" s="489" t="s">
        <v>814</v>
      </c>
      <c r="C57" s="112" t="s">
        <v>846</v>
      </c>
      <c r="D57" s="546"/>
      <c r="E57" s="546"/>
      <c r="F57" s="490">
        <f t="shared" si="3"/>
        <v>0</v>
      </c>
      <c r="H57" s="439"/>
      <c r="I57" s="117" t="str">
        <f t="shared" si="4"/>
        <v/>
      </c>
      <c r="K57" s="10"/>
    </row>
    <row r="58" spans="2:11">
      <c r="B58" s="489" t="s">
        <v>839</v>
      </c>
      <c r="C58" s="112" t="s">
        <v>847</v>
      </c>
      <c r="D58" s="546"/>
      <c r="E58" s="546"/>
      <c r="F58" s="490">
        <f t="shared" si="3"/>
        <v>0</v>
      </c>
      <c r="H58" s="439"/>
      <c r="I58" s="117" t="str">
        <f t="shared" si="4"/>
        <v/>
      </c>
      <c r="K58" s="10"/>
    </row>
    <row r="59" spans="2:11">
      <c r="B59" s="489" t="s">
        <v>840</v>
      </c>
      <c r="C59" s="112" t="s">
        <v>848</v>
      </c>
      <c r="D59" s="546"/>
      <c r="E59" s="546"/>
      <c r="F59" s="490">
        <f t="shared" si="3"/>
        <v>0</v>
      </c>
      <c r="H59" s="439"/>
      <c r="I59" s="117" t="str">
        <f t="shared" si="4"/>
        <v/>
      </c>
      <c r="K59" s="10"/>
    </row>
    <row r="60" spans="2:11" ht="16" thickBot="1">
      <c r="B60" s="522" t="s">
        <v>722</v>
      </c>
      <c r="C60" s="107" t="s">
        <v>849</v>
      </c>
      <c r="D60" s="546"/>
      <c r="E60" s="546"/>
      <c r="F60" s="487">
        <f t="shared" si="3"/>
        <v>0</v>
      </c>
      <c r="H60" s="438"/>
      <c r="I60" s="117" t="str">
        <f>IF(AND(ISNUMBER(D60), ISBLANK(E60)), "Error: Missing 0-6 amount", "")</f>
        <v/>
      </c>
      <c r="K60" s="10"/>
    </row>
    <row r="61" spans="2:11" s="12" customFormat="1" ht="16" thickBot="1">
      <c r="B61" s="14"/>
      <c r="C61" s="14"/>
      <c r="D61" s="14"/>
      <c r="E61" s="14"/>
      <c r="F61" s="14"/>
      <c r="G61" s="14"/>
      <c r="H61" s="491"/>
      <c r="K61" s="10"/>
    </row>
    <row r="62" spans="2:11" ht="16" thickBot="1">
      <c r="B62" s="492" t="s">
        <v>45</v>
      </c>
      <c r="C62" s="105">
        <v>421</v>
      </c>
      <c r="D62" s="484">
        <f>SUM(D63:D69)</f>
        <v>0</v>
      </c>
      <c r="E62" s="484">
        <f>SUM(E63:E69)</f>
        <v>0</v>
      </c>
      <c r="F62" s="484">
        <f>SUM(F63:F69)</f>
        <v>0</v>
      </c>
      <c r="H62" s="493"/>
      <c r="I62" s="494"/>
      <c r="K62" s="10"/>
    </row>
    <row r="63" spans="2:11">
      <c r="B63" s="26" t="s">
        <v>178</v>
      </c>
      <c r="C63" s="106" t="s">
        <v>46</v>
      </c>
      <c r="D63" s="546"/>
      <c r="E63" s="546"/>
      <c r="F63" s="545">
        <f t="shared" ref="F63:F69" si="5">+D63-E63</f>
        <v>0</v>
      </c>
      <c r="H63" s="440"/>
      <c r="I63" s="117" t="str">
        <f>IF(AND(ISNUMBER(D63), ISBLANK(E63)), "Error: Missing 0-6 amount", "")</f>
        <v/>
      </c>
      <c r="K63" s="10"/>
    </row>
    <row r="64" spans="2:11">
      <c r="B64" s="26" t="s">
        <v>179</v>
      </c>
      <c r="C64" s="106" t="s">
        <v>48</v>
      </c>
      <c r="D64" s="546"/>
      <c r="E64" s="546"/>
      <c r="F64" s="485">
        <f t="shared" si="5"/>
        <v>0</v>
      </c>
      <c r="H64" s="437"/>
      <c r="I64" s="117" t="str">
        <f t="shared" ref="I64:I69" si="6">IF(AND(ISNUMBER(D64), ISBLANK(E64)), "Error: Missing 0-6 amount", "")</f>
        <v/>
      </c>
      <c r="K64" s="10"/>
    </row>
    <row r="65" spans="2:11">
      <c r="B65" s="26" t="s">
        <v>180</v>
      </c>
      <c r="C65" s="106" t="s">
        <v>49</v>
      </c>
      <c r="D65" s="546"/>
      <c r="E65" s="546"/>
      <c r="F65" s="485">
        <f t="shared" si="5"/>
        <v>0</v>
      </c>
      <c r="H65" s="437"/>
      <c r="I65" s="117" t="str">
        <f t="shared" si="6"/>
        <v/>
      </c>
      <c r="K65" s="10"/>
    </row>
    <row r="66" spans="2:11">
      <c r="B66" s="26" t="s">
        <v>181</v>
      </c>
      <c r="C66" s="106" t="s">
        <v>50</v>
      </c>
      <c r="D66" s="546"/>
      <c r="E66" s="546"/>
      <c r="F66" s="485">
        <f t="shared" si="5"/>
        <v>0</v>
      </c>
      <c r="H66" s="437"/>
      <c r="I66" s="117" t="str">
        <f t="shared" si="6"/>
        <v/>
      </c>
      <c r="K66" s="10"/>
    </row>
    <row r="67" spans="2:11">
      <c r="B67" s="26" t="s">
        <v>182</v>
      </c>
      <c r="C67" s="106" t="s">
        <v>183</v>
      </c>
      <c r="D67" s="546"/>
      <c r="E67" s="546"/>
      <c r="F67" s="485">
        <f t="shared" si="5"/>
        <v>0</v>
      </c>
      <c r="H67" s="440"/>
      <c r="I67" s="117" t="str">
        <f t="shared" si="6"/>
        <v/>
      </c>
      <c r="K67" s="10"/>
    </row>
    <row r="68" spans="2:11">
      <c r="B68" s="26" t="s">
        <v>184</v>
      </c>
      <c r="C68" s="106" t="s">
        <v>51</v>
      </c>
      <c r="D68" s="546"/>
      <c r="E68" s="546"/>
      <c r="F68" s="485">
        <f t="shared" si="5"/>
        <v>0</v>
      </c>
      <c r="H68" s="437"/>
      <c r="I68" s="117" t="str">
        <f t="shared" si="6"/>
        <v/>
      </c>
      <c r="K68" s="10"/>
    </row>
    <row r="69" spans="2:11" ht="16" thickBot="1">
      <c r="B69" s="111" t="s">
        <v>177</v>
      </c>
      <c r="C69" s="107" t="s">
        <v>47</v>
      </c>
      <c r="D69" s="546"/>
      <c r="E69" s="546"/>
      <c r="F69" s="487">
        <f t="shared" si="5"/>
        <v>0</v>
      </c>
      <c r="H69" s="438"/>
      <c r="I69" s="117" t="str">
        <f t="shared" si="6"/>
        <v/>
      </c>
      <c r="K69" s="10"/>
    </row>
    <row r="70" spans="2:11" s="12" customFormat="1" ht="16" thickBot="1">
      <c r="B70" s="9"/>
      <c r="C70" s="9"/>
      <c r="D70" s="9"/>
      <c r="E70" s="9"/>
      <c r="F70" s="9"/>
      <c r="H70" s="495"/>
      <c r="K70" s="10"/>
    </row>
    <row r="71" spans="2:11" s="12" customFormat="1" ht="16" thickBot="1">
      <c r="B71" s="492" t="s">
        <v>52</v>
      </c>
      <c r="C71" s="105">
        <v>431</v>
      </c>
      <c r="D71" s="484">
        <f>SUM(D72:D74)</f>
        <v>0</v>
      </c>
      <c r="E71" s="484">
        <f>SUM(E72:E74)</f>
        <v>0</v>
      </c>
      <c r="F71" s="484">
        <f>SUM(F72:F74)</f>
        <v>0</v>
      </c>
      <c r="H71" s="496"/>
      <c r="K71" s="10"/>
    </row>
    <row r="72" spans="2:11" s="12" customFormat="1">
      <c r="B72" s="26" t="s">
        <v>185</v>
      </c>
      <c r="C72" s="106" t="s">
        <v>53</v>
      </c>
      <c r="D72" s="546"/>
      <c r="E72" s="546">
        <f>IFERROR(+D72*'A2.Allocation &amp; Operating Plan'!C$119,0)</f>
        <v>0</v>
      </c>
      <c r="F72" s="545">
        <f t="shared" ref="F72:F101" si="7">+D72-E72</f>
        <v>0</v>
      </c>
      <c r="G72" s="9"/>
      <c r="H72" s="437"/>
      <c r="K72" s="10"/>
    </row>
    <row r="73" spans="2:11">
      <c r="B73" s="26" t="s">
        <v>186</v>
      </c>
      <c r="C73" s="106" t="s">
        <v>54</v>
      </c>
      <c r="D73" s="546"/>
      <c r="E73" s="27">
        <f>IFERROR(+D73*'A2.Allocation &amp; Operating Plan'!C$119,0)</f>
        <v>0</v>
      </c>
      <c r="F73" s="485">
        <f t="shared" si="7"/>
        <v>0</v>
      </c>
      <c r="G73" s="12"/>
      <c r="H73" s="437"/>
      <c r="K73" s="10"/>
    </row>
    <row r="74" spans="2:11" s="12" customFormat="1" ht="16" thickBot="1">
      <c r="B74" s="111" t="s">
        <v>177</v>
      </c>
      <c r="C74" s="107" t="s">
        <v>187</v>
      </c>
      <c r="D74" s="546"/>
      <c r="E74" s="108">
        <f>IFERROR(+D74*'A2.Allocation &amp; Operating Plan'!C$119,0)</f>
        <v>0</v>
      </c>
      <c r="F74" s="487">
        <f t="shared" si="7"/>
        <v>0</v>
      </c>
      <c r="G74" s="9"/>
      <c r="H74" s="438"/>
      <c r="K74" s="10"/>
    </row>
    <row r="75" spans="2:11" ht="16" thickBot="1">
      <c r="G75" s="12"/>
      <c r="H75" s="495"/>
      <c r="K75" s="10"/>
    </row>
    <row r="76" spans="2:11" s="12" customFormat="1" ht="16" thickBot="1">
      <c r="B76" s="492" t="s">
        <v>55</v>
      </c>
      <c r="C76" s="105">
        <v>441</v>
      </c>
      <c r="D76" s="484">
        <f>SUM(D77:D78)</f>
        <v>0</v>
      </c>
      <c r="E76" s="484">
        <f>SUM(E77:E78)</f>
        <v>0</v>
      </c>
      <c r="F76" s="484">
        <f>SUM(F77:F78)</f>
        <v>0</v>
      </c>
      <c r="H76" s="496"/>
      <c r="K76" s="10"/>
    </row>
    <row r="77" spans="2:11" s="12" customFormat="1">
      <c r="B77" s="26" t="s">
        <v>188</v>
      </c>
      <c r="C77" s="106" t="s">
        <v>56</v>
      </c>
      <c r="D77" s="546"/>
      <c r="E77" s="546">
        <f>IFERROR(+D77*'A2.Allocation &amp; Operating Plan'!C$119,0)</f>
        <v>0</v>
      </c>
      <c r="F77" s="545">
        <f t="shared" si="7"/>
        <v>0</v>
      </c>
      <c r="G77" s="9"/>
      <c r="H77" s="437"/>
      <c r="K77" s="10"/>
    </row>
    <row r="78" spans="2:11" s="12" customFormat="1" ht="16" thickBot="1">
      <c r="B78" s="111" t="s">
        <v>177</v>
      </c>
      <c r="C78" s="107" t="s">
        <v>189</v>
      </c>
      <c r="D78" s="546"/>
      <c r="E78" s="108">
        <f>IFERROR(+D78*'A2.Allocation &amp; Operating Plan'!C$119,0)</f>
        <v>0</v>
      </c>
      <c r="F78" s="487">
        <f t="shared" si="7"/>
        <v>0</v>
      </c>
      <c r="G78" s="9"/>
      <c r="H78" s="438"/>
      <c r="K78" s="10"/>
    </row>
    <row r="79" spans="2:11" ht="15.75" customHeight="1" thickBot="1">
      <c r="H79" s="495"/>
      <c r="K79" s="10"/>
    </row>
    <row r="80" spans="2:11" ht="15" customHeight="1" thickBot="1">
      <c r="B80" s="492" t="s">
        <v>57</v>
      </c>
      <c r="C80" s="105">
        <v>451</v>
      </c>
      <c r="D80" s="484">
        <f>SUM(D81:D101)</f>
        <v>0</v>
      </c>
      <c r="E80" s="484">
        <f>SUM(E81:E101)</f>
        <v>0</v>
      </c>
      <c r="F80" s="484">
        <f>SUM(F81:F101)</f>
        <v>0</v>
      </c>
      <c r="H80" s="496"/>
      <c r="K80" s="10"/>
    </row>
    <row r="81" spans="2:11" ht="14.5" customHeight="1">
      <c r="B81" s="26" t="s">
        <v>190</v>
      </c>
      <c r="C81" s="106" t="s">
        <v>58</v>
      </c>
      <c r="D81" s="546"/>
      <c r="E81" s="546">
        <f>IFERROR(+D81*'A2.Allocation &amp; Operating Plan'!C$119,0)</f>
        <v>0</v>
      </c>
      <c r="F81" s="545">
        <f t="shared" si="7"/>
        <v>0</v>
      </c>
      <c r="H81" s="437"/>
      <c r="K81" s="10"/>
    </row>
    <row r="82" spans="2:11" ht="14.5" customHeight="1">
      <c r="B82" s="497" t="s">
        <v>821</v>
      </c>
      <c r="C82" s="106" t="s">
        <v>59</v>
      </c>
      <c r="D82" s="546"/>
      <c r="E82" s="27">
        <f>IFERROR(+D82*'A2.Allocation &amp; Operating Plan'!C$119,0)</f>
        <v>0</v>
      </c>
      <c r="F82" s="485">
        <f t="shared" si="7"/>
        <v>0</v>
      </c>
      <c r="H82" s="437"/>
      <c r="K82" s="10"/>
    </row>
    <row r="83" spans="2:11" ht="14.5" customHeight="1">
      <c r="B83" s="497" t="s">
        <v>822</v>
      </c>
      <c r="C83" s="106" t="s">
        <v>409</v>
      </c>
      <c r="D83" s="546"/>
      <c r="E83" s="27">
        <f>IFERROR(+D83*'A2.Allocation &amp; Operating Plan'!C$119,0)</f>
        <v>0</v>
      </c>
      <c r="F83" s="485">
        <f t="shared" si="7"/>
        <v>0</v>
      </c>
      <c r="H83" s="437"/>
      <c r="K83" s="10"/>
    </row>
    <row r="84" spans="2:11">
      <c r="B84" s="26" t="s">
        <v>191</v>
      </c>
      <c r="C84" s="106" t="s">
        <v>60</v>
      </c>
      <c r="D84" s="546"/>
      <c r="E84" s="27">
        <f>IFERROR(+D84*'A2.Allocation &amp; Operating Plan'!C$119,0)</f>
        <v>0</v>
      </c>
      <c r="F84" s="485">
        <f t="shared" si="7"/>
        <v>0</v>
      </c>
      <c r="H84" s="437"/>
      <c r="K84" s="10"/>
    </row>
    <row r="85" spans="2:11">
      <c r="B85" s="26" t="s">
        <v>192</v>
      </c>
      <c r="C85" s="106" t="s">
        <v>61</v>
      </c>
      <c r="D85" s="546"/>
      <c r="E85" s="27">
        <f>IFERROR(+D85*'A2.Allocation &amp; Operating Plan'!C$119,0)</f>
        <v>0</v>
      </c>
      <c r="F85" s="485">
        <f>+D85-E85</f>
        <v>0</v>
      </c>
      <c r="H85" s="437"/>
      <c r="K85" s="10"/>
    </row>
    <row r="86" spans="2:11">
      <c r="B86" s="26" t="s">
        <v>193</v>
      </c>
      <c r="C86" s="106" t="s">
        <v>62</v>
      </c>
      <c r="D86" s="546"/>
      <c r="E86" s="27">
        <f>IFERROR(+D86*'A2.Allocation &amp; Operating Plan'!C$119,0)</f>
        <v>0</v>
      </c>
      <c r="F86" s="485">
        <f>+D86-E86</f>
        <v>0</v>
      </c>
      <c r="H86" s="437"/>
      <c r="K86" s="10"/>
    </row>
    <row r="87" spans="2:11">
      <c r="B87" s="26" t="s">
        <v>240</v>
      </c>
      <c r="C87" s="106" t="s">
        <v>63</v>
      </c>
      <c r="D87" s="546"/>
      <c r="E87" s="27">
        <f>IFERROR(+D87*'A2.Allocation &amp; Operating Plan'!C$119,0)</f>
        <v>0</v>
      </c>
      <c r="F87" s="485">
        <f t="shared" si="7"/>
        <v>0</v>
      </c>
      <c r="H87" s="437"/>
      <c r="K87" s="10"/>
    </row>
    <row r="88" spans="2:11">
      <c r="B88" s="26" t="s">
        <v>194</v>
      </c>
      <c r="C88" s="106" t="s">
        <v>64</v>
      </c>
      <c r="D88" s="546"/>
      <c r="E88" s="27">
        <f>IFERROR(+D88*'A2.Allocation &amp; Operating Plan'!C$119,0)</f>
        <v>0</v>
      </c>
      <c r="F88" s="485">
        <f t="shared" si="7"/>
        <v>0</v>
      </c>
      <c r="H88" s="437"/>
      <c r="K88" s="10"/>
    </row>
    <row r="89" spans="2:11">
      <c r="B89" s="20" t="s">
        <v>723</v>
      </c>
      <c r="C89" s="106" t="s">
        <v>65</v>
      </c>
      <c r="D89" s="546"/>
      <c r="E89" s="27">
        <f>IFERROR(+D89*'A2.Allocation &amp; Operating Plan'!C$119,0)</f>
        <v>0</v>
      </c>
      <c r="F89" s="485">
        <f t="shared" si="7"/>
        <v>0</v>
      </c>
      <c r="H89" s="437"/>
      <c r="K89" s="10"/>
    </row>
    <row r="90" spans="2:11">
      <c r="B90" s="20" t="s">
        <v>195</v>
      </c>
      <c r="C90" s="106" t="s">
        <v>66</v>
      </c>
      <c r="D90" s="546"/>
      <c r="E90" s="27">
        <f>IFERROR(+D90*'A2.Allocation &amp; Operating Plan'!C$119,0)</f>
        <v>0</v>
      </c>
      <c r="F90" s="485">
        <f t="shared" si="7"/>
        <v>0</v>
      </c>
      <c r="H90" s="437"/>
      <c r="K90" s="10"/>
    </row>
    <row r="91" spans="2:11">
      <c r="B91" s="26" t="s">
        <v>196</v>
      </c>
      <c r="C91" s="106" t="s">
        <v>67</v>
      </c>
      <c r="D91" s="546"/>
      <c r="E91" s="27">
        <f>IFERROR(+D91*'A2.Allocation &amp; Operating Plan'!C$119,0)</f>
        <v>0</v>
      </c>
      <c r="F91" s="485">
        <f t="shared" si="7"/>
        <v>0</v>
      </c>
      <c r="H91" s="437"/>
      <c r="K91" s="10"/>
    </row>
    <row r="92" spans="2:11">
      <c r="B92" s="26" t="s">
        <v>197</v>
      </c>
      <c r="C92" s="106" t="s">
        <v>68</v>
      </c>
      <c r="D92" s="546"/>
      <c r="E92" s="27">
        <f>IFERROR(+D92*'A2.Allocation &amp; Operating Plan'!C$119,0)</f>
        <v>0</v>
      </c>
      <c r="F92" s="485">
        <f t="shared" si="7"/>
        <v>0</v>
      </c>
      <c r="H92" s="437"/>
      <c r="K92" s="10"/>
    </row>
    <row r="93" spans="2:11">
      <c r="B93" s="26" t="s">
        <v>198</v>
      </c>
      <c r="C93" s="106" t="s">
        <v>69</v>
      </c>
      <c r="D93" s="546"/>
      <c r="E93" s="27">
        <f>IFERROR(+D93*'A2.Allocation &amp; Operating Plan'!C$119,0)</f>
        <v>0</v>
      </c>
      <c r="F93" s="485">
        <f t="shared" si="7"/>
        <v>0</v>
      </c>
      <c r="G93" s="12"/>
      <c r="H93" s="437"/>
      <c r="K93" s="10"/>
    </row>
    <row r="94" spans="2:11" s="12" customFormat="1">
      <c r="B94" s="26" t="s">
        <v>199</v>
      </c>
      <c r="C94" s="106" t="s">
        <v>70</v>
      </c>
      <c r="D94" s="546"/>
      <c r="E94" s="27">
        <f>IFERROR(+D94*'A2.Allocation &amp; Operating Plan'!C$119,0)</f>
        <v>0</v>
      </c>
      <c r="F94" s="485">
        <f t="shared" si="7"/>
        <v>0</v>
      </c>
      <c r="G94" s="9"/>
      <c r="H94" s="437"/>
      <c r="K94" s="10"/>
    </row>
    <row r="95" spans="2:11" s="12" customFormat="1">
      <c r="B95" s="20" t="s">
        <v>467</v>
      </c>
      <c r="C95" s="106" t="s">
        <v>466</v>
      </c>
      <c r="D95" s="546"/>
      <c r="E95" s="27">
        <f>IFERROR(+D95*'A2.Allocation &amp; Operating Plan'!C$119,0)</f>
        <v>0</v>
      </c>
      <c r="F95" s="485">
        <f t="shared" si="7"/>
        <v>0</v>
      </c>
      <c r="G95" s="9"/>
      <c r="H95" s="437"/>
      <c r="K95" s="10"/>
    </row>
    <row r="96" spans="2:11">
      <c r="B96" s="26" t="s">
        <v>200</v>
      </c>
      <c r="C96" s="106" t="s">
        <v>71</v>
      </c>
      <c r="D96" s="546"/>
      <c r="E96" s="27">
        <f>IFERROR(+D96*'A2.Allocation &amp; Operating Plan'!C$119,0)</f>
        <v>0</v>
      </c>
      <c r="F96" s="485">
        <f t="shared" si="7"/>
        <v>0</v>
      </c>
      <c r="H96" s="437"/>
      <c r="K96" s="10"/>
    </row>
    <row r="97" spans="2:11">
      <c r="B97" s="20" t="s">
        <v>201</v>
      </c>
      <c r="C97" s="106" t="s">
        <v>72</v>
      </c>
      <c r="D97" s="546"/>
      <c r="E97" s="27">
        <f>IFERROR(+D97*'A2.Allocation &amp; Operating Plan'!C$119,0)</f>
        <v>0</v>
      </c>
      <c r="F97" s="485">
        <f t="shared" si="7"/>
        <v>0</v>
      </c>
      <c r="H97" s="437"/>
      <c r="K97" s="10"/>
    </row>
    <row r="98" spans="2:11">
      <c r="B98" s="20" t="s">
        <v>468</v>
      </c>
      <c r="C98" s="106" t="s">
        <v>410</v>
      </c>
      <c r="D98" s="546"/>
      <c r="E98" s="27">
        <f>IFERROR(+D98*'A2.Allocation &amp; Operating Plan'!C$119,0)</f>
        <v>0</v>
      </c>
      <c r="F98" s="485">
        <f>+D98-E98</f>
        <v>0</v>
      </c>
      <c r="H98" s="437"/>
      <c r="K98" s="10"/>
    </row>
    <row r="99" spans="2:11" s="12" customFormat="1">
      <c r="B99" s="524" t="s">
        <v>177</v>
      </c>
      <c r="C99" s="106" t="s">
        <v>86</v>
      </c>
      <c r="D99" s="546"/>
      <c r="E99" s="27">
        <f>IFERROR(+D99*'A2.Allocation &amp; Operating Plan'!C$119,0)</f>
        <v>0</v>
      </c>
      <c r="F99" s="485">
        <f t="shared" si="7"/>
        <v>0</v>
      </c>
      <c r="G99" s="9"/>
      <c r="H99" s="437"/>
      <c r="K99" s="10"/>
    </row>
    <row r="100" spans="2:11" s="12" customFormat="1">
      <c r="B100" s="524" t="s">
        <v>177</v>
      </c>
      <c r="C100" s="106" t="s">
        <v>854</v>
      </c>
      <c r="D100" s="546"/>
      <c r="E100" s="27">
        <f>IFERROR(+D100*'A2.Allocation &amp; Operating Plan'!C$119,0)</f>
        <v>0</v>
      </c>
      <c r="F100" s="485">
        <f t="shared" si="7"/>
        <v>0</v>
      </c>
      <c r="G100" s="9"/>
      <c r="H100" s="437"/>
      <c r="K100" s="10"/>
    </row>
    <row r="101" spans="2:11" ht="16" thickBot="1">
      <c r="B101" s="111" t="s">
        <v>177</v>
      </c>
      <c r="C101" s="107" t="s">
        <v>853</v>
      </c>
      <c r="D101" s="546"/>
      <c r="E101" s="108">
        <f>IFERROR(+D101*'A2.Allocation &amp; Operating Plan'!C$119,0)</f>
        <v>0</v>
      </c>
      <c r="F101" s="487">
        <f t="shared" si="7"/>
        <v>0</v>
      </c>
      <c r="H101" s="438"/>
      <c r="K101" s="10"/>
    </row>
    <row r="102" spans="2:11" ht="16" thickBot="1">
      <c r="G102" s="12"/>
      <c r="H102" s="495"/>
      <c r="K102" s="10"/>
    </row>
    <row r="103" spans="2:11" s="12" customFormat="1" ht="16" thickBot="1">
      <c r="B103" s="492" t="s">
        <v>139</v>
      </c>
      <c r="C103" s="105">
        <v>461</v>
      </c>
      <c r="D103" s="484">
        <f>SUM(D104:D108)</f>
        <v>0</v>
      </c>
      <c r="E103" s="484">
        <f>SUM(E104:E108)</f>
        <v>0</v>
      </c>
      <c r="F103" s="484">
        <f>SUM(F104:F108)</f>
        <v>0</v>
      </c>
      <c r="H103" s="496"/>
      <c r="K103" s="10"/>
    </row>
    <row r="104" spans="2:11" s="12" customFormat="1" hidden="1">
      <c r="B104" s="26" t="s">
        <v>202</v>
      </c>
      <c r="C104" s="106" t="s">
        <v>73</v>
      </c>
      <c r="D104" s="547"/>
      <c r="E104" s="547"/>
      <c r="F104" s="545">
        <f>+D104-E104</f>
        <v>0</v>
      </c>
      <c r="H104" s="486"/>
      <c r="K104" s="10"/>
    </row>
    <row r="105" spans="2:11" s="12" customFormat="1">
      <c r="B105" s="26" t="s">
        <v>203</v>
      </c>
      <c r="C105" s="106" t="s">
        <v>74</v>
      </c>
      <c r="D105" s="546"/>
      <c r="E105" s="546">
        <f>IFERROR(+D105*'A2.Allocation &amp; Operating Plan'!C$119,0)</f>
        <v>0</v>
      </c>
      <c r="F105" s="485">
        <f>+D105-E105</f>
        <v>0</v>
      </c>
      <c r="H105" s="437"/>
      <c r="K105" s="10"/>
    </row>
    <row r="106" spans="2:11" s="12" customFormat="1">
      <c r="B106" s="26" t="s">
        <v>204</v>
      </c>
      <c r="C106" s="106" t="s">
        <v>75</v>
      </c>
      <c r="D106" s="546"/>
      <c r="E106" s="546">
        <f>IFERROR(+D106*'A2.Allocation &amp; Operating Plan'!C$119,0)</f>
        <v>0</v>
      </c>
      <c r="F106" s="485">
        <f>+D106-E106</f>
        <v>0</v>
      </c>
      <c r="H106" s="437"/>
      <c r="K106" s="10"/>
    </row>
    <row r="107" spans="2:11" s="12" customFormat="1">
      <c r="B107" s="26" t="s">
        <v>205</v>
      </c>
      <c r="C107" s="106" t="s">
        <v>411</v>
      </c>
      <c r="D107" s="546"/>
      <c r="E107" s="546">
        <f>IFERROR(+D107*'A2.Allocation &amp; Operating Plan'!C$119,0)</f>
        <v>0</v>
      </c>
      <c r="F107" s="485">
        <f>+D107-E107</f>
        <v>0</v>
      </c>
      <c r="H107" s="437"/>
      <c r="K107" s="10"/>
    </row>
    <row r="108" spans="2:11" s="12" customFormat="1" ht="16" thickBot="1">
      <c r="B108" s="111" t="s">
        <v>177</v>
      </c>
      <c r="C108" s="107" t="s">
        <v>412</v>
      </c>
      <c r="D108" s="546"/>
      <c r="E108" s="546">
        <f>IFERROR(+D108*'A2.Allocation &amp; Operating Plan'!C$119,0)</f>
        <v>0</v>
      </c>
      <c r="F108" s="487">
        <f>+D108-E108</f>
        <v>0</v>
      </c>
      <c r="H108" s="438"/>
      <c r="K108" s="10"/>
    </row>
    <row r="109" spans="2:11" ht="16" thickBot="1">
      <c r="C109" s="12"/>
      <c r="D109" s="12"/>
      <c r="E109" s="498"/>
      <c r="F109" s="498"/>
      <c r="G109" s="12"/>
      <c r="H109" s="10"/>
    </row>
    <row r="110" spans="2:11" ht="16" thickBot="1">
      <c r="B110" s="492" t="s">
        <v>459</v>
      </c>
      <c r="C110" s="105">
        <v>465</v>
      </c>
      <c r="D110" s="484">
        <f>SUM(D111)</f>
        <v>0</v>
      </c>
      <c r="E110" s="484">
        <f>SUM(E111)</f>
        <v>0</v>
      </c>
      <c r="F110" s="484">
        <f>SUM(F111)</f>
        <v>0</v>
      </c>
    </row>
    <row r="111" spans="2:11" ht="16" thickBot="1">
      <c r="B111" s="499" t="s">
        <v>354</v>
      </c>
      <c r="C111" s="500" t="s">
        <v>861</v>
      </c>
      <c r="D111" s="484">
        <f>'A3. Peel Region Grants'!G117</f>
        <v>0</v>
      </c>
      <c r="E111" s="484">
        <f>D111</f>
        <v>0</v>
      </c>
      <c r="F111" s="551">
        <f>D111-E111</f>
        <v>0</v>
      </c>
      <c r="H111" s="555" t="s">
        <v>881</v>
      </c>
      <c r="I111" s="14"/>
      <c r="J111" s="14"/>
      <c r="K111" s="14"/>
    </row>
    <row r="112" spans="2:11" ht="16" thickBot="1">
      <c r="C112" s="12"/>
      <c r="D112" s="12"/>
      <c r="E112" s="498"/>
      <c r="F112" s="498"/>
      <c r="G112" s="12"/>
      <c r="H112" s="10"/>
    </row>
    <row r="113" spans="2:8" s="12" customFormat="1" ht="16" thickBot="1">
      <c r="B113" s="501" t="s">
        <v>76</v>
      </c>
      <c r="C113" s="105">
        <v>471</v>
      </c>
      <c r="D113" s="484">
        <f>SUM(D114:D116)</f>
        <v>0</v>
      </c>
      <c r="E113" s="484">
        <f>SUM(E114:E116)</f>
        <v>0</v>
      </c>
      <c r="F113" s="484"/>
      <c r="H113" s="9"/>
    </row>
    <row r="114" spans="2:8" s="12" customFormat="1">
      <c r="B114" s="102" t="s">
        <v>44</v>
      </c>
      <c r="C114" s="106" t="s">
        <v>413</v>
      </c>
      <c r="D114" s="546"/>
      <c r="E114" s="552">
        <f>D114</f>
        <v>0</v>
      </c>
      <c r="F114" s="553"/>
      <c r="H114" s="9"/>
    </row>
    <row r="115" spans="2:8" s="12" customFormat="1">
      <c r="B115" s="102" t="s">
        <v>44</v>
      </c>
      <c r="C115" s="106" t="s">
        <v>414</v>
      </c>
      <c r="D115" s="546"/>
      <c r="E115" s="468">
        <f>D115</f>
        <v>0</v>
      </c>
      <c r="F115" s="466"/>
      <c r="H115" s="9"/>
    </row>
    <row r="116" spans="2:8" s="12" customFormat="1" ht="16" thickBot="1">
      <c r="B116" s="113" t="s">
        <v>44</v>
      </c>
      <c r="C116" s="107" t="s">
        <v>415</v>
      </c>
      <c r="D116" s="546"/>
      <c r="E116" s="502">
        <f>D116</f>
        <v>0</v>
      </c>
      <c r="F116" s="503"/>
      <c r="H116" s="10"/>
    </row>
    <row r="117" spans="2:8" s="12" customFormat="1" ht="16" thickBot="1">
      <c r="B117" s="9"/>
      <c r="C117" s="9"/>
      <c r="D117" s="9"/>
      <c r="E117" s="9"/>
      <c r="F117" s="9"/>
      <c r="H117" s="9"/>
    </row>
    <row r="118" spans="2:8" s="12" customFormat="1" ht="16" thickBot="1">
      <c r="B118" s="501" t="s">
        <v>810</v>
      </c>
      <c r="C118" s="105">
        <v>481</v>
      </c>
      <c r="D118" s="484">
        <f>SUM(D119:D121)</f>
        <v>0</v>
      </c>
      <c r="E118" s="484">
        <f>SUM(E119:E121)</f>
        <v>0</v>
      </c>
      <c r="F118" s="484"/>
      <c r="H118" s="9"/>
    </row>
    <row r="119" spans="2:8" s="12" customFormat="1">
      <c r="B119" s="102" t="s">
        <v>44</v>
      </c>
      <c r="C119" s="106" t="s">
        <v>416</v>
      </c>
      <c r="D119" s="546"/>
      <c r="E119" s="552">
        <f>D119</f>
        <v>0</v>
      </c>
      <c r="F119" s="553"/>
      <c r="H119" s="9"/>
    </row>
    <row r="120" spans="2:8" s="12" customFormat="1">
      <c r="B120" s="102" t="s">
        <v>44</v>
      </c>
      <c r="C120" s="106" t="s">
        <v>417</v>
      </c>
      <c r="D120" s="546"/>
      <c r="E120" s="468">
        <f>D120</f>
        <v>0</v>
      </c>
      <c r="F120" s="466"/>
      <c r="H120" s="9"/>
    </row>
    <row r="121" spans="2:8" s="12" customFormat="1" ht="16" thickBot="1">
      <c r="B121" s="113" t="s">
        <v>44</v>
      </c>
      <c r="C121" s="107" t="s">
        <v>418</v>
      </c>
      <c r="D121" s="546"/>
      <c r="E121" s="502">
        <f>D121</f>
        <v>0</v>
      </c>
      <c r="F121" s="503"/>
      <c r="H121" s="9"/>
    </row>
    <row r="122" spans="2:8" s="12" customFormat="1" ht="16" thickBot="1">
      <c r="B122" s="9"/>
      <c r="C122" s="9"/>
      <c r="D122" s="9"/>
      <c r="E122" s="9"/>
      <c r="F122" s="9"/>
      <c r="H122" s="9"/>
    </row>
    <row r="123" spans="2:8" ht="16" thickBot="1">
      <c r="B123" s="504" t="s">
        <v>206</v>
      </c>
      <c r="C123" s="505">
        <v>490</v>
      </c>
      <c r="D123" s="506">
        <f>+D80+D71+D62+D35+D76+D113+D118+D110+D103</f>
        <v>0</v>
      </c>
      <c r="E123" s="506">
        <f>+E80+E71+E62+E35+E76+E113+E118+E110+E103</f>
        <v>0</v>
      </c>
      <c r="F123" s="507">
        <f>+F80+F71+F62+F35+F76+F110+F103</f>
        <v>0</v>
      </c>
      <c r="H123" s="77"/>
    </row>
    <row r="124" spans="2:8" ht="16" thickBot="1"/>
    <row r="125" spans="2:8" ht="16" thickBot="1">
      <c r="B125" s="504" t="s">
        <v>207</v>
      </c>
      <c r="C125" s="508" t="s">
        <v>167</v>
      </c>
      <c r="D125" s="509">
        <f>+D30-D123</f>
        <v>0</v>
      </c>
      <c r="E125" s="509">
        <f>+E30-E123</f>
        <v>0</v>
      </c>
      <c r="F125" s="510">
        <f>+F30-F123</f>
        <v>0</v>
      </c>
      <c r="H125" s="12"/>
    </row>
    <row r="126" spans="2:8">
      <c r="B126" s="511"/>
      <c r="D126" s="512"/>
      <c r="E126" s="512"/>
      <c r="F126" s="512"/>
      <c r="H126" s="12"/>
    </row>
    <row r="127" spans="2:8">
      <c r="H127" s="12"/>
    </row>
    <row r="128" spans="2:8">
      <c r="H128" s="12"/>
    </row>
    <row r="129" spans="2:13" ht="24" hidden="1" thickBot="1">
      <c r="B129" s="1196" t="str">
        <f>IF('A1. Identification'!B6=0, " ", "CWELCC Reconciliation of "&amp; 'A2.Allocation &amp; Operating Plan'!$C$103)</f>
        <v xml:space="preserve">CWELCC Reconciliation of  </v>
      </c>
      <c r="C129" s="1197"/>
      <c r="D129" s="1197"/>
      <c r="E129" s="1197"/>
    </row>
    <row r="130" spans="2:13" ht="24" hidden="1" thickBot="1">
      <c r="B130" s="557"/>
      <c r="C130" s="557"/>
      <c r="D130" s="557"/>
      <c r="E130" s="998"/>
    </row>
    <row r="131" spans="2:13" ht="42.5" hidden="1" outlineLevel="1" thickBot="1">
      <c r="B131" s="1198" t="s">
        <v>357</v>
      </c>
      <c r="C131" s="1199"/>
      <c r="D131" s="559" t="s">
        <v>23</v>
      </c>
      <c r="E131" s="998"/>
    </row>
    <row r="132" spans="2:13" hidden="1" outlineLevel="1">
      <c r="B132" s="1200" t="s">
        <v>33</v>
      </c>
      <c r="C132" s="1200"/>
      <c r="D132" s="876">
        <f>'A2.Allocation &amp; Operating Plan'!H20</f>
        <v>0</v>
      </c>
      <c r="E132" s="556"/>
      <c r="F132" s="14"/>
      <c r="G132" s="14"/>
      <c r="H132" s="14"/>
    </row>
    <row r="133" spans="2:13" hidden="1" outlineLevel="1">
      <c r="B133" s="1201" t="s">
        <v>237</v>
      </c>
      <c r="C133" s="1201"/>
      <c r="D133" s="561">
        <f>'A2.Allocation &amp; Operating Plan'!H23</f>
        <v>0</v>
      </c>
      <c r="E133" s="556"/>
      <c r="F133" s="14"/>
      <c r="G133" s="14"/>
      <c r="H133" s="14"/>
    </row>
    <row r="134" spans="2:13" ht="30" hidden="1" outlineLevel="1">
      <c r="B134" s="1178" t="s">
        <v>87</v>
      </c>
      <c r="C134" s="1179"/>
      <c r="D134" s="564">
        <f>D132+D133</f>
        <v>0</v>
      </c>
      <c r="E134" s="556"/>
      <c r="F134" s="14"/>
      <c r="G134" s="514"/>
      <c r="H134" s="515"/>
      <c r="I134" s="514"/>
      <c r="J134" s="514"/>
      <c r="K134" s="516"/>
      <c r="L134" s="14"/>
      <c r="M134" s="14"/>
    </row>
    <row r="135" spans="2:13" ht="29.5" hidden="1" outlineLevel="1">
      <c r="B135" s="565" t="s">
        <v>390</v>
      </c>
      <c r="C135" s="563"/>
      <c r="D135" s="564"/>
      <c r="E135" s="556"/>
      <c r="F135" s="14"/>
      <c r="G135" s="517"/>
      <c r="H135" s="518"/>
      <c r="I135" s="517"/>
      <c r="J135" s="517"/>
      <c r="K135" s="519"/>
      <c r="L135" s="14"/>
      <c r="M135" s="14"/>
    </row>
    <row r="136" spans="2:13" ht="29.5" hidden="1" outlineLevel="1">
      <c r="B136" s="1204" t="s">
        <v>358</v>
      </c>
      <c r="C136" s="1204"/>
      <c r="D136" s="877">
        <f>-E20</f>
        <v>0</v>
      </c>
      <c r="E136" s="558"/>
      <c r="F136" s="14"/>
      <c r="G136" s="517"/>
      <c r="H136" s="518"/>
      <c r="I136" s="517"/>
      <c r="J136" s="517"/>
      <c r="K136" s="519"/>
      <c r="L136" s="14"/>
      <c r="M136" s="14"/>
    </row>
    <row r="137" spans="2:13" ht="29.5" hidden="1" outlineLevel="1">
      <c r="B137" s="1204" t="s">
        <v>359</v>
      </c>
      <c r="C137" s="1204"/>
      <c r="D137" s="566"/>
      <c r="E137" s="558"/>
      <c r="F137" s="14"/>
      <c r="G137" s="517"/>
      <c r="H137" s="518"/>
      <c r="I137" s="517"/>
      <c r="J137" s="517"/>
      <c r="K137" s="519"/>
      <c r="L137" s="14"/>
      <c r="M137" s="14"/>
    </row>
    <row r="138" spans="2:13" ht="29.5" hidden="1" outlineLevel="1">
      <c r="B138" s="1205" t="s">
        <v>360</v>
      </c>
      <c r="C138" s="1206"/>
      <c r="D138" s="878">
        <f>-E21</f>
        <v>0</v>
      </c>
      <c r="E138" s="558"/>
      <c r="F138" s="14"/>
      <c r="G138" s="517"/>
      <c r="H138" s="518"/>
      <c r="I138" s="517"/>
      <c r="J138" s="517"/>
      <c r="K138" s="519"/>
      <c r="L138" s="14"/>
      <c r="M138" s="14"/>
    </row>
    <row r="139" spans="2:13" ht="29.5" hidden="1" outlineLevel="1">
      <c r="B139" s="1178" t="s">
        <v>438</v>
      </c>
      <c r="C139" s="1179"/>
      <c r="D139" s="568">
        <f>D137+D138+D136</f>
        <v>0</v>
      </c>
      <c r="E139" s="558"/>
      <c r="F139" s="14"/>
      <c r="G139" s="517"/>
      <c r="H139" s="518"/>
      <c r="I139" s="517"/>
      <c r="J139" s="517"/>
      <c r="K139" s="519"/>
      <c r="L139" s="14"/>
      <c r="M139" s="14"/>
    </row>
    <row r="140" spans="2:13" ht="29.5" hidden="1" outlineLevel="1">
      <c r="B140" s="562"/>
      <c r="C140" s="563"/>
      <c r="D140" s="569"/>
      <c r="E140" s="558"/>
      <c r="F140" s="14"/>
      <c r="G140" s="517"/>
      <c r="H140" s="518"/>
      <c r="I140" s="517"/>
      <c r="J140" s="517"/>
      <c r="K140" s="519"/>
      <c r="L140" s="14"/>
      <c r="M140" s="14"/>
    </row>
    <row r="141" spans="2:13" ht="29.5" hidden="1" outlineLevel="1">
      <c r="B141" s="1207" t="s">
        <v>380</v>
      </c>
      <c r="C141" s="1207"/>
      <c r="D141" s="570">
        <f>D134+D139</f>
        <v>0</v>
      </c>
      <c r="E141" s="557"/>
      <c r="F141" s="14"/>
      <c r="G141" s="517"/>
      <c r="H141" s="518"/>
      <c r="I141" s="517"/>
      <c r="J141" s="517"/>
      <c r="K141" s="519"/>
      <c r="L141" s="14"/>
      <c r="M141" s="14"/>
    </row>
    <row r="142" spans="2:13" ht="29.5" hidden="1" outlineLevel="1">
      <c r="B142" s="571"/>
      <c r="C142" s="571"/>
      <c r="D142" s="572"/>
      <c r="E142" s="557"/>
      <c r="F142" s="14"/>
      <c r="G142" s="517"/>
      <c r="H142" s="518"/>
      <c r="I142" s="517"/>
      <c r="J142" s="517"/>
      <c r="K142" s="519"/>
      <c r="L142" s="14"/>
      <c r="M142" s="14"/>
    </row>
    <row r="143" spans="2:13" ht="42" hidden="1" outlineLevel="1">
      <c r="B143" s="573" t="s">
        <v>39</v>
      </c>
      <c r="C143" s="574" t="s">
        <v>90</v>
      </c>
      <c r="D143" s="575" t="s">
        <v>344</v>
      </c>
      <c r="E143"/>
      <c r="F143" s="14"/>
      <c r="G143" s="517"/>
      <c r="H143" s="518"/>
      <c r="I143" s="517"/>
      <c r="J143" s="517"/>
      <c r="K143" s="519"/>
      <c r="L143" s="14"/>
      <c r="M143" s="14"/>
    </row>
    <row r="144" spans="2:13" ht="29.5" hidden="1" outlineLevel="1">
      <c r="B144" s="536" t="s">
        <v>485</v>
      </c>
      <c r="C144" s="537"/>
      <c r="D144" s="879">
        <f>E123</f>
        <v>0</v>
      </c>
      <c r="E144"/>
      <c r="F144" s="14"/>
      <c r="G144" s="517"/>
      <c r="H144" s="518"/>
      <c r="I144" s="517"/>
      <c r="J144" s="517"/>
      <c r="K144" s="519"/>
      <c r="L144" s="14"/>
      <c r="M144" s="14"/>
    </row>
    <row r="145" spans="2:13" ht="29.5" hidden="1" outlineLevel="1">
      <c r="B145" s="536" t="s">
        <v>336</v>
      </c>
      <c r="C145" s="537"/>
      <c r="D145" s="538"/>
      <c r="E145"/>
      <c r="F145" s="14"/>
      <c r="G145" s="517"/>
      <c r="H145" s="518"/>
      <c r="I145" s="517"/>
      <c r="J145" s="517"/>
      <c r="K145" s="519"/>
      <c r="L145" s="14"/>
      <c r="M145" s="14"/>
    </row>
    <row r="146" spans="2:13" ht="29.5" hidden="1" outlineLevel="1">
      <c r="B146" s="536" t="s">
        <v>393</v>
      </c>
      <c r="C146" s="537"/>
      <c r="D146" s="539"/>
      <c r="E146" s="3"/>
      <c r="F146" s="14"/>
      <c r="G146" s="517"/>
      <c r="H146" s="518"/>
      <c r="I146" s="517"/>
      <c r="J146" s="517"/>
      <c r="K146" s="519"/>
      <c r="L146" s="14"/>
      <c r="M146" s="14"/>
    </row>
    <row r="147" spans="2:13" ht="29.5" hidden="1" outlineLevel="1">
      <c r="B147" s="540" t="s">
        <v>476</v>
      </c>
      <c r="C147" s="537"/>
      <c r="D147" s="541"/>
      <c r="E147"/>
      <c r="F147" s="14"/>
      <c r="G147" s="517"/>
      <c r="H147" s="518"/>
      <c r="I147" s="517"/>
      <c r="J147" s="517"/>
      <c r="K147" s="519"/>
      <c r="L147" s="14"/>
      <c r="M147" s="14"/>
    </row>
    <row r="148" spans="2:13" ht="29.5" hidden="1" outlineLevel="1">
      <c r="B148" s="577" t="s">
        <v>477</v>
      </c>
      <c r="C148" s="542"/>
      <c r="D148" s="541"/>
      <c r="E148"/>
      <c r="F148" s="14"/>
      <c r="G148" s="517"/>
      <c r="H148" s="518"/>
      <c r="I148" s="517"/>
      <c r="J148" s="517"/>
      <c r="K148" s="519"/>
      <c r="L148" s="14"/>
      <c r="M148" s="14"/>
    </row>
    <row r="149" spans="2:13" ht="29.5" hidden="1" outlineLevel="1">
      <c r="B149" s="865" t="s">
        <v>888</v>
      </c>
      <c r="C149" s="537"/>
      <c r="D149" s="880">
        <f>-E59</f>
        <v>0</v>
      </c>
      <c r="E149"/>
      <c r="F149" s="14"/>
      <c r="G149" s="517"/>
      <c r="H149" s="518"/>
      <c r="I149" s="517"/>
      <c r="J149" s="517"/>
      <c r="K149" s="519"/>
      <c r="L149" s="14"/>
      <c r="M149" s="14"/>
    </row>
    <row r="150" spans="2:13" ht="29.5" hidden="1" outlineLevel="1">
      <c r="B150" s="577" t="s">
        <v>889</v>
      </c>
      <c r="C150" s="542"/>
      <c r="D150" s="880">
        <f>-E83</f>
        <v>0</v>
      </c>
      <c r="E150"/>
      <c r="F150" s="14"/>
      <c r="G150" s="517"/>
      <c r="H150" s="518"/>
      <c r="I150" s="517"/>
      <c r="J150" s="517"/>
      <c r="K150" s="519"/>
      <c r="L150" s="14"/>
      <c r="M150" s="14"/>
    </row>
    <row r="151" spans="2:13" ht="29.5" hidden="1" outlineLevel="1">
      <c r="B151" s="577" t="s">
        <v>890</v>
      </c>
      <c r="C151" s="542"/>
      <c r="D151" s="880">
        <f>-E106</f>
        <v>0</v>
      </c>
      <c r="E151"/>
      <c r="F151" s="14"/>
      <c r="G151" s="517"/>
      <c r="H151" s="518"/>
      <c r="I151" s="517"/>
      <c r="J151" s="517"/>
      <c r="K151" s="519"/>
      <c r="L151" s="14"/>
      <c r="M151" s="14"/>
    </row>
    <row r="152" spans="2:13" ht="29.5" hidden="1" outlineLevel="1">
      <c r="B152" s="577" t="s">
        <v>862</v>
      </c>
      <c r="C152" s="542"/>
      <c r="D152" s="880">
        <f>-E97</f>
        <v>0</v>
      </c>
      <c r="E152"/>
      <c r="F152" s="14"/>
      <c r="G152" s="517"/>
      <c r="H152" s="518"/>
      <c r="I152" s="517"/>
      <c r="J152" s="517"/>
      <c r="K152" s="519"/>
      <c r="L152" s="14"/>
      <c r="M152" s="14"/>
    </row>
    <row r="153" spans="2:13" ht="29.5" hidden="1" outlineLevel="1">
      <c r="B153" s="540" t="s">
        <v>891</v>
      </c>
      <c r="C153" s="537"/>
      <c r="D153" s="880">
        <f>-E113</f>
        <v>0</v>
      </c>
      <c r="E153"/>
      <c r="F153" s="14"/>
      <c r="G153" s="517"/>
      <c r="H153" s="518"/>
      <c r="I153" s="517"/>
      <c r="J153" s="517"/>
      <c r="K153" s="519"/>
      <c r="L153" s="14"/>
      <c r="M153" s="14"/>
    </row>
    <row r="154" spans="2:13" ht="29.5" hidden="1" outlineLevel="1">
      <c r="B154" s="540" t="s">
        <v>892</v>
      </c>
      <c r="C154" s="537"/>
      <c r="D154" s="880">
        <f>-E118</f>
        <v>0</v>
      </c>
      <c r="E154"/>
      <c r="F154" s="14"/>
      <c r="G154" s="517"/>
      <c r="H154" s="518"/>
      <c r="I154" s="517"/>
      <c r="J154" s="517"/>
      <c r="K154" s="520"/>
      <c r="L154" s="14"/>
      <c r="M154" s="14"/>
    </row>
    <row r="155" spans="2:13" hidden="1" outlineLevel="1">
      <c r="B155" s="540" t="s">
        <v>893</v>
      </c>
      <c r="C155" s="537"/>
      <c r="D155" s="541"/>
      <c r="E155"/>
      <c r="F155" s="14"/>
      <c r="G155" s="14"/>
      <c r="H155" s="14"/>
      <c r="I155" s="14"/>
      <c r="J155" s="14"/>
      <c r="K155" s="14"/>
      <c r="L155" s="14"/>
      <c r="M155" s="14"/>
    </row>
    <row r="156" spans="2:13" ht="18.5" hidden="1" outlineLevel="1">
      <c r="B156" s="865" t="s">
        <v>894</v>
      </c>
      <c r="C156" s="537"/>
      <c r="D156" s="543"/>
      <c r="E156"/>
      <c r="F156" s="14"/>
      <c r="G156" s="14"/>
      <c r="H156" s="14"/>
      <c r="I156" s="14"/>
      <c r="J156" s="14"/>
      <c r="K156" s="14"/>
      <c r="L156" s="14"/>
      <c r="M156" s="14"/>
    </row>
    <row r="157" spans="2:13" hidden="1" outlineLevel="1">
      <c r="B157" s="536" t="s">
        <v>342</v>
      </c>
      <c r="C157" s="537"/>
      <c r="D157" s="544">
        <f>SUM(D146:D156)</f>
        <v>0</v>
      </c>
      <c r="E157"/>
      <c r="F157" s="14"/>
      <c r="G157" s="14"/>
      <c r="H157" s="14"/>
      <c r="I157" s="14"/>
      <c r="J157" s="14"/>
      <c r="K157" s="14"/>
      <c r="L157" s="14"/>
      <c r="M157" s="14"/>
    </row>
    <row r="158" spans="2:13" hidden="1" outlineLevel="1">
      <c r="B158" s="536"/>
      <c r="C158" s="537"/>
      <c r="D158" s="538"/>
      <c r="E158"/>
      <c r="F158" s="14"/>
      <c r="G158" s="14"/>
      <c r="H158" s="14"/>
    </row>
    <row r="159" spans="2:13" hidden="1" outlineLevel="1">
      <c r="B159" s="536" t="s">
        <v>343</v>
      </c>
      <c r="C159" s="537"/>
      <c r="D159" s="538">
        <f>+D144+D157</f>
        <v>0</v>
      </c>
      <c r="E159" s="578"/>
      <c r="F159" s="14"/>
      <c r="G159" s="14"/>
      <c r="H159" s="14"/>
    </row>
    <row r="160" spans="2:13" hidden="1" outlineLevel="1">
      <c r="B160" s="536"/>
      <c r="C160" s="537"/>
      <c r="D160" s="538"/>
      <c r="E160"/>
      <c r="F160" s="14"/>
      <c r="G160" s="14"/>
      <c r="H160" s="14"/>
    </row>
    <row r="161" spans="2:8" hidden="1" outlineLevel="1">
      <c r="B161" s="536" t="s">
        <v>345</v>
      </c>
      <c r="C161" s="537"/>
      <c r="D161" s="538">
        <f>IFERROR('A2.Allocation &amp; Operating Plan'!H20,0)</f>
        <v>0</v>
      </c>
      <c r="E161"/>
      <c r="F161" s="14"/>
      <c r="G161" s="14"/>
      <c r="H161" s="14"/>
    </row>
    <row r="162" spans="2:8" hidden="1" outlineLevel="1">
      <c r="B162" s="536"/>
      <c r="C162" s="537"/>
      <c r="D162" s="538"/>
      <c r="E162"/>
      <c r="F162" s="14"/>
      <c r="G162" s="14"/>
      <c r="H162" s="14"/>
    </row>
    <row r="163" spans="2:8" hidden="1" outlineLevel="1">
      <c r="B163" s="536" t="s">
        <v>346</v>
      </c>
      <c r="C163" s="537"/>
      <c r="D163" s="538">
        <f>IF(D159&gt;D161,0,ROUND(D161-D159,2))</f>
        <v>0</v>
      </c>
      <c r="E163"/>
      <c r="F163" s="14"/>
      <c r="G163" s="14"/>
      <c r="H163" s="14"/>
    </row>
    <row r="164" spans="2:8" hidden="1" outlineLevel="1">
      <c r="B164" s="536" t="str">
        <f>IF(Table132456[[#This Row],[Amounts]]&gt;0,"Underspending of CWELCC program applied to OTEF", " ")</f>
        <v xml:space="preserve"> </v>
      </c>
      <c r="C164" s="581"/>
      <c r="D164" s="538"/>
      <c r="E164"/>
      <c r="F164" s="14"/>
      <c r="G164" s="14"/>
      <c r="H164" s="14"/>
    </row>
    <row r="165" spans="2:8" hidden="1" outlineLevel="1">
      <c r="B165" s="577" t="s">
        <v>857</v>
      </c>
      <c r="C165" s="542"/>
      <c r="D165" s="538"/>
      <c r="E165"/>
      <c r="F165" s="14"/>
      <c r="G165" s="14"/>
      <c r="H165" s="14"/>
    </row>
    <row r="166" spans="2:8" hidden="1" outlineLevel="1">
      <c r="B166" s="582" t="s">
        <v>350</v>
      </c>
      <c r="C166" s="583"/>
      <c r="D166" s="584">
        <f>ROUND(D163-D164,2)</f>
        <v>0</v>
      </c>
      <c r="E166"/>
      <c r="F166" s="521"/>
      <c r="G166" s="14"/>
      <c r="H166" s="14"/>
    </row>
    <row r="167" spans="2:8" hidden="1" outlineLevel="1">
      <c r="B167" s="585"/>
      <c r="C167" s="586"/>
      <c r="D167" s="587"/>
      <c r="E167" s="588"/>
      <c r="F167" s="14"/>
      <c r="G167" s="14"/>
      <c r="H167" s="14"/>
    </row>
    <row r="168" spans="2:8" ht="18.5" hidden="1" outlineLevel="1">
      <c r="B168" s="104" t="str">
        <f>IF(C236&gt;0,"*Important Note: CWELCC program allocation underspending of $" &amp;ROUND(C236,0)&amp; " is being applied to your OTEF grant to maximize your Cost based funding, your remaining amount in Program cost underspending is $"&amp;D166," ")</f>
        <v xml:space="preserve"> </v>
      </c>
      <c r="C168"/>
      <c r="D168" s="57"/>
      <c r="E168" s="589"/>
      <c r="F168" s="14"/>
      <c r="G168" s="14"/>
      <c r="H168" s="14"/>
    </row>
    <row r="169" spans="2:8" ht="16" hidden="1" outlineLevel="1" thickBot="1">
      <c r="B169"/>
      <c r="C169"/>
      <c r="D169"/>
      <c r="E169" s="3"/>
      <c r="F169" s="14"/>
      <c r="G169" s="14"/>
      <c r="H169" s="14"/>
    </row>
    <row r="170" spans="2:8" ht="24" hidden="1" outlineLevel="1" thickBot="1">
      <c r="B170" s="590" t="s">
        <v>373</v>
      </c>
      <c r="C170" s="591"/>
      <c r="D170" s="591"/>
      <c r="E170" s="591"/>
      <c r="F170" s="14"/>
      <c r="G170" s="14"/>
      <c r="H170" s="14"/>
    </row>
    <row r="171" spans="2:8" hidden="1" outlineLevel="1">
      <c r="B171"/>
      <c r="C171"/>
      <c r="D171"/>
      <c r="E171" s="3"/>
      <c r="F171" s="14"/>
      <c r="G171" s="14"/>
      <c r="H171" s="14"/>
    </row>
    <row r="172" spans="2:8" hidden="1" outlineLevel="1">
      <c r="B172"/>
      <c r="C172"/>
      <c r="D172"/>
      <c r="E172" s="3"/>
      <c r="F172" s="14"/>
      <c r="G172" s="14"/>
      <c r="H172" s="14"/>
    </row>
    <row r="173" spans="2:8" ht="21" hidden="1" outlineLevel="1">
      <c r="B173" s="1208" t="s">
        <v>221</v>
      </c>
      <c r="C173" s="1209"/>
      <c r="D173" s="1209"/>
      <c r="E173" s="593"/>
      <c r="F173" s="14"/>
      <c r="G173" s="14"/>
      <c r="H173" s="14"/>
    </row>
    <row r="174" spans="2:8" hidden="1" outlineLevel="1">
      <c r="B174" s="1202" t="s">
        <v>77</v>
      </c>
      <c r="C174" s="1202"/>
      <c r="D174" s="1202"/>
      <c r="E174" s="594">
        <f>IFERROR((IF(D161-D185&lt;0,0,D161-D185)),0)</f>
        <v>0</v>
      </c>
      <c r="F174" s="14"/>
      <c r="G174" s="14"/>
      <c r="H174" s="14"/>
    </row>
    <row r="175" spans="2:8" hidden="1" outlineLevel="1">
      <c r="B175" s="1202" t="s">
        <v>78</v>
      </c>
      <c r="C175" s="1202"/>
      <c r="D175" s="1202"/>
      <c r="E175" s="594">
        <f>IFERROR(ROUND(('A2.Allocation &amp; Operating Plan'!H23-E187),0),0)</f>
        <v>0</v>
      </c>
      <c r="F175" s="14"/>
      <c r="G175" s="14"/>
      <c r="H175" s="14"/>
    </row>
    <row r="176" spans="2:8" hidden="1" outlineLevel="1">
      <c r="B176" s="1202" t="s">
        <v>218</v>
      </c>
      <c r="C176" s="1202"/>
      <c r="D176" s="1202"/>
      <c r="E176" s="594">
        <f>IFERROR((IF(C196&lt;C195,0,C196-C195)),0)</f>
        <v>0</v>
      </c>
      <c r="F176" s="14"/>
      <c r="G176" s="14"/>
      <c r="H176" s="14"/>
    </row>
    <row r="177" spans="2:8" hidden="1" outlineLevel="1">
      <c r="B177" s="1203" t="s">
        <v>79</v>
      </c>
      <c r="C177" s="1203"/>
      <c r="D177" s="1203"/>
      <c r="E177" s="597">
        <f>SUM(E174:E176)</f>
        <v>0</v>
      </c>
      <c r="F177" s="14"/>
      <c r="G177" s="14"/>
      <c r="H177" s="14"/>
    </row>
    <row r="178" spans="2:8" ht="16" hidden="1" outlineLevel="1" thickBot="1">
      <c r="B178"/>
      <c r="C178"/>
      <c r="D178"/>
      <c r="E178"/>
      <c r="F178" s="14"/>
      <c r="G178" s="14"/>
      <c r="H178" s="14"/>
    </row>
    <row r="179" spans="2:8" ht="21" hidden="1" outlineLevel="1">
      <c r="B179" s="598" t="s">
        <v>238</v>
      </c>
      <c r="C179" s="599"/>
      <c r="D179" s="599"/>
      <c r="E179" s="600"/>
      <c r="F179" s="14"/>
      <c r="G179" s="14"/>
      <c r="H179" s="14"/>
    </row>
    <row r="180" spans="2:8" ht="16" hidden="1" outlineLevel="1" thickBot="1">
      <c r="B180" s="78" t="s">
        <v>80</v>
      </c>
      <c r="C180"/>
      <c r="D180"/>
      <c r="E180" s="56"/>
      <c r="F180" s="14"/>
      <c r="G180" s="14"/>
      <c r="H180" s="14"/>
    </row>
    <row r="181" spans="2:8" ht="16" hidden="1" outlineLevel="1" thickBot="1">
      <c r="B181" s="601" t="s">
        <v>361</v>
      </c>
      <c r="C181" s="602"/>
      <c r="D181" s="602"/>
      <c r="E181" s="603">
        <f>IFERROR('A2.Allocation &amp; Operating Plan'!H23,0)</f>
        <v>0</v>
      </c>
      <c r="F181" s="14"/>
      <c r="G181" s="14"/>
      <c r="H181" s="14"/>
    </row>
    <row r="182" spans="2:8" ht="16" hidden="1" outlineLevel="1" thickTop="1">
      <c r="B182" s="604"/>
      <c r="C182" s="605"/>
      <c r="D182" s="606"/>
      <c r="E182" s="607"/>
      <c r="F182" s="14"/>
      <c r="G182" s="14"/>
      <c r="H182" s="14"/>
    </row>
    <row r="183" spans="2:8" ht="31" hidden="1" outlineLevel="1">
      <c r="B183" s="608" t="s">
        <v>435</v>
      </c>
      <c r="C183" s="609"/>
      <c r="D183" s="609"/>
      <c r="E183" s="610">
        <f>IFERROR(MIN(D185,D186),0)</f>
        <v>0</v>
      </c>
      <c r="F183" s="14"/>
      <c r="G183" s="14"/>
      <c r="H183" s="14"/>
    </row>
    <row r="184" spans="2:8" hidden="1" outlineLevel="1">
      <c r="B184" s="611" t="s">
        <v>81</v>
      </c>
      <c r="C184"/>
      <c r="D184" s="612"/>
      <c r="E184" s="613"/>
      <c r="F184" s="14"/>
      <c r="G184" s="14"/>
      <c r="H184" s="14"/>
    </row>
    <row r="185" spans="2:8" hidden="1" outlineLevel="1">
      <c r="B185" s="614" t="s">
        <v>465</v>
      </c>
      <c r="C185"/>
      <c r="D185" s="612">
        <f>D159</f>
        <v>0</v>
      </c>
      <c r="E185" s="615"/>
      <c r="F185" s="14"/>
      <c r="G185" s="14"/>
      <c r="H185" s="14"/>
    </row>
    <row r="186" spans="2:8" ht="16" hidden="1" outlineLevel="1" thickBot="1">
      <c r="B186" s="616" t="s">
        <v>362</v>
      </c>
      <c r="C186" s="617"/>
      <c r="D186" s="618">
        <f>D161</f>
        <v>0</v>
      </c>
      <c r="E186" s="619"/>
      <c r="F186" s="14"/>
      <c r="G186" s="14"/>
      <c r="H186" s="14"/>
    </row>
    <row r="187" spans="2:8" ht="16" hidden="1" outlineLevel="1" thickTop="1">
      <c r="B187" s="620" t="s">
        <v>436</v>
      </c>
      <c r="C187" s="621"/>
      <c r="D187" s="622"/>
      <c r="E187" s="623">
        <f>ROUND(IF((D188+D191+D192)&gt;'A2.Allocation &amp; Operating Plan'!H23,'A2.Allocation &amp; Operating Plan'!H23,D188+D191+D192),0)</f>
        <v>0</v>
      </c>
      <c r="F187" s="14"/>
      <c r="G187" s="14"/>
      <c r="H187" s="14"/>
    </row>
    <row r="188" spans="2:8" hidden="1" outlineLevel="1">
      <c r="B188" s="624" t="s">
        <v>363</v>
      </c>
      <c r="C188"/>
      <c r="D188" s="612">
        <f>IFERROR(0.0425*E183,0)</f>
        <v>0</v>
      </c>
      <c r="E188" s="625"/>
      <c r="F188" s="14"/>
      <c r="G188" s="14"/>
      <c r="H188" s="14"/>
    </row>
    <row r="189" spans="2:8" hidden="1" outlineLevel="1">
      <c r="B189" s="626" t="s">
        <v>82</v>
      </c>
      <c r="C189"/>
      <c r="D189" s="612"/>
      <c r="E189" s="625"/>
      <c r="F189" s="14"/>
      <c r="G189" s="14"/>
      <c r="H189" s="14"/>
    </row>
    <row r="190" spans="2:8" hidden="1" outlineLevel="1">
      <c r="B190" s="627" t="s">
        <v>364</v>
      </c>
      <c r="C190" s="612">
        <f>IFERROR(E183,0)</f>
        <v>0</v>
      </c>
      <c r="D190" s="612"/>
      <c r="E190" s="56"/>
      <c r="F190" s="14"/>
      <c r="G190" s="14"/>
      <c r="H190" s="14"/>
    </row>
    <row r="191" spans="2:8" hidden="1" outlineLevel="1">
      <c r="B191" s="627" t="s">
        <v>83</v>
      </c>
      <c r="C191" s="612">
        <f>IFERROR(SUM('A2.Allocation &amp; Operating Plan'!H13:H17),0)</f>
        <v>0</v>
      </c>
      <c r="D191" s="612">
        <f>IFERROR(0.035*MIN(C190,C191),0)</f>
        <v>0</v>
      </c>
      <c r="E191" s="56"/>
      <c r="F191" s="14"/>
      <c r="G191" s="14"/>
      <c r="H191" s="14"/>
    </row>
    <row r="192" spans="2:8" ht="16" hidden="1" outlineLevel="1" thickBot="1">
      <c r="B192" s="628" t="str">
        <f>"iii. Add - $"&amp;D192&amp; " per site"</f>
        <v>iii. Add - $0 per site</v>
      </c>
      <c r="C192" s="629"/>
      <c r="D192" s="618">
        <f>IF(SUM('A2.Allocation &amp; Operating Plan'!C107:G107)=0, 0, IF('A2.Allocation &amp; Operating Plan'!I103=0, 6000, 6000/12*'A2.Allocation &amp; Operating Plan'!I103))</f>
        <v>0</v>
      </c>
      <c r="E192" s="630"/>
      <c r="F192" s="14"/>
      <c r="G192" s="14"/>
      <c r="H192" s="14"/>
    </row>
    <row r="193" spans="2:8" ht="16" hidden="1" outlineLevel="1" thickTop="1">
      <c r="B193" s="620" t="s">
        <v>437</v>
      </c>
      <c r="C193" s="631"/>
      <c r="D193" s="631"/>
      <c r="E193" s="623">
        <f>-IFERROR(MAX(C195,C196),0)</f>
        <v>0</v>
      </c>
      <c r="F193" s="14"/>
      <c r="G193" s="14"/>
      <c r="H193" s="14"/>
    </row>
    <row r="194" spans="2:8" hidden="1" outlineLevel="1">
      <c r="B194" s="632" t="s">
        <v>84</v>
      </c>
      <c r="C194"/>
      <c r="D194" s="605"/>
      <c r="E194" s="633"/>
      <c r="F194" s="14"/>
      <c r="G194" s="14"/>
      <c r="H194" s="14"/>
    </row>
    <row r="195" spans="2:8" hidden="1" outlineLevel="1">
      <c r="B195" s="624" t="s">
        <v>365</v>
      </c>
      <c r="C195" s="612">
        <f>-IFERROR('A2.Allocation &amp; Operating Plan'!H21,0)</f>
        <v>0</v>
      </c>
      <c r="D195" s="605"/>
      <c r="E195" s="633"/>
    </row>
    <row r="196" spans="2:8" ht="16" hidden="1" outlineLevel="1" thickBot="1">
      <c r="B196" s="634" t="s">
        <v>366</v>
      </c>
      <c r="C196" s="618">
        <f>-D139</f>
        <v>0</v>
      </c>
      <c r="D196" s="635"/>
      <c r="E196" s="636"/>
    </row>
    <row r="197" spans="2:8" ht="16.5" hidden="1" outlineLevel="1" thickTop="1" thickBot="1">
      <c r="B197" s="637" t="s">
        <v>219</v>
      </c>
      <c r="C197" s="638"/>
      <c r="D197" s="639"/>
      <c r="E197" s="640">
        <f>IFERROR(E183+E187+E193,0)</f>
        <v>0</v>
      </c>
    </row>
    <row r="198" spans="2:8" ht="16" hidden="1" outlineLevel="1" thickBot="1">
      <c r="B198" s="641"/>
      <c r="C198" s="641"/>
      <c r="D198" s="641"/>
      <c r="E198" s="642"/>
    </row>
    <row r="199" spans="2:8" ht="19" hidden="1" outlineLevel="1" thickBot="1">
      <c r="B199" s="643" t="s">
        <v>220</v>
      </c>
      <c r="C199" s="644"/>
      <c r="D199" s="644"/>
      <c r="E199" s="645">
        <f>IF(E197&lt;0,0,E181-E197)</f>
        <v>0</v>
      </c>
    </row>
    <row r="200" spans="2:8" hidden="1" collapsed="1"/>
  </sheetData>
  <sheetProtection algorithmName="SHA-512" hashValue="jXBep1u1Qspb02u41kKQNLSjnIUgO8a4JYHTZSBEkNq1gaQNNC+qu9c96pK8NAIbENlHyyPzeOfTAH2t9BvoPw==" saltValue="KCUZZOtfQLipbtzUVhEhaA==" spinCount="100000" sheet="1"/>
  <protectedRanges>
    <protectedRange sqref="B78 B74 B69 B60 F72:F75 D109:F109 F119:F121 E34:F34 F114:F117 F104:F108 B108:B109 F24:F29 F18:F21 B99:B101 F81:F102 F77:F79 D122:F122 F63:F69 D37:F37 D45:F45 F38:F44 D53:F53 F46:F52 F54:F60" name="allow"/>
    <protectedRange sqref="B28:B29" name="allow_1"/>
    <protectedRange sqref="D18:E19" name="allow_5"/>
    <protectedRange sqref="F22:F23" name="allow_5_1"/>
    <protectedRange sqref="D28:E29 D24:D26 E24:E27 D20:E23" name="allow_5_1_1"/>
    <protectedRange sqref="D38:E44" name="allow_2"/>
    <protectedRange sqref="D46:E52" name="allow_3"/>
    <protectedRange sqref="D54:E60" name="allow_4"/>
    <protectedRange sqref="D63:E69" name="allow_6"/>
    <protectedRange sqref="D72:E74" name="allow_7"/>
    <protectedRange sqref="D77:E78" name="allow_8"/>
    <protectedRange sqref="D81:E101" name="allow_9"/>
    <protectedRange sqref="D105:E108" name="allow_10"/>
    <protectedRange sqref="D114:D116" name="allow_11"/>
    <protectedRange sqref="D119:D121" name="allow_12"/>
  </protectedRanges>
  <mergeCells count="22">
    <mergeCell ref="B134:C134"/>
    <mergeCell ref="B1:F1"/>
    <mergeCell ref="B2:F2"/>
    <mergeCell ref="B3:G3"/>
    <mergeCell ref="H9:I12"/>
    <mergeCell ref="E15:F15"/>
    <mergeCell ref="H18:H19"/>
    <mergeCell ref="H34:H35"/>
    <mergeCell ref="B129:E129"/>
    <mergeCell ref="B131:C131"/>
    <mergeCell ref="B132:C132"/>
    <mergeCell ref="B133:C133"/>
    <mergeCell ref="B174:D174"/>
    <mergeCell ref="B175:D175"/>
    <mergeCell ref="B176:D176"/>
    <mergeCell ref="B177:D177"/>
    <mergeCell ref="B136:C136"/>
    <mergeCell ref="B137:C137"/>
    <mergeCell ref="B138:C138"/>
    <mergeCell ref="B139:C139"/>
    <mergeCell ref="B141:C141"/>
    <mergeCell ref="B173:D173"/>
  </mergeCells>
  <conditionalFormatting sqref="E15">
    <cfRule type="cellIs" dxfId="63" priority="8" operator="notEqual">
      <formula>""</formula>
    </cfRule>
  </conditionalFormatting>
  <conditionalFormatting sqref="F7:F14">
    <cfRule type="cellIs" dxfId="62" priority="3" operator="notEqual">
      <formula>""</formula>
    </cfRule>
  </conditionalFormatting>
  <conditionalFormatting sqref="G18">
    <cfRule type="expression" priority="11">
      <formula>"if($D$17&gt;1 and $E$17 = 0,""red"",blue"")"</formula>
    </cfRule>
  </conditionalFormatting>
  <conditionalFormatting sqref="G38:G44 G46:G52 G54:G60">
    <cfRule type="expression" dxfId="61" priority="10">
      <formula>AND(ISNUMBER(D38), E38="")</formula>
    </cfRule>
  </conditionalFormatting>
  <conditionalFormatting sqref="G63:G69">
    <cfRule type="expression" dxfId="60" priority="9">
      <formula>AND(ISNUMBER(D63), E63="")</formula>
    </cfRule>
  </conditionalFormatting>
  <conditionalFormatting sqref="H13:H15">
    <cfRule type="cellIs" dxfId="59" priority="7" operator="notEqual">
      <formula>""</formula>
    </cfRule>
  </conditionalFormatting>
  <dataValidations disablePrompts="1" count="6">
    <dataValidation type="list" allowBlank="1" showInputMessage="1" showErrorMessage="1" sqref="E15:F15" xr:uid="{88DFAC41-1EC2-4CBC-82FA-F110AFDA22B9}">
      <formula1>$XEN$9:$XEN$13</formula1>
    </dataValidation>
    <dataValidation type="decimal" allowBlank="1" showInputMessage="1" showErrorMessage="1" sqref="F54:F60 F38:F44 F46:F52" xr:uid="{DBD1AFBF-E28E-4F5D-91BA-58F09E6CD477}">
      <formula1>0</formula1>
      <formula2>1000000000000000000</formula2>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1" xr:uid="{D3836195-ED6B-4D55-8948-3D94DEBF16AB}">
      <formula1>0</formula1>
      <formula2>365</formula2>
    </dataValidation>
    <dataValidation type="list" allowBlank="1" showInputMessage="1" showErrorMessage="1" sqref="F12" xr:uid="{1830FEAA-00D0-4DFD-AC64-855C8C66D7D3}">
      <formula1>$XEI$9:$XEI$11</formula1>
    </dataValidation>
    <dataValidation type="list" allowBlank="1" showInputMessage="1" showErrorMessage="1" sqref="F13" xr:uid="{7F54EF89-EDB2-4B0E-A934-2288B17F90FD}">
      <formula1>$XEK$9:$XEK$12</formula1>
    </dataValidation>
    <dataValidation type="list" allowBlank="1" showInputMessage="1" showErrorMessage="1" sqref="F14" xr:uid="{11FEED31-A609-4812-B67B-2EA43087C941}">
      <formula1>$XEM$9:$XEM$10</formula1>
    </dataValidation>
  </dataValidations>
  <pageMargins left="0.7" right="0.7" top="0.75" bottom="0.75" header="0.3" footer="0.3"/>
  <pageSetup scale="54" orientation="landscape" r:id="rId1"/>
  <legacy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3096B-A472-4F0D-99C8-2F4860B7BF55}">
  <sheetPr>
    <tabColor rgb="FFFFC000"/>
  </sheetPr>
  <dimension ref="A1:V97"/>
  <sheetViews>
    <sheetView showGridLines="0" zoomScale="70" zoomScaleNormal="70" workbookViewId="0">
      <selection activeCell="F73" sqref="F73"/>
    </sheetView>
  </sheetViews>
  <sheetFormatPr defaultColWidth="9.1796875" defaultRowHeight="14.5"/>
  <cols>
    <col min="3" max="3" width="95.26953125" bestFit="1" customWidth="1"/>
    <col min="4" max="4" width="6.7265625" bestFit="1" customWidth="1"/>
    <col min="5" max="5" width="8.26953125" customWidth="1"/>
    <col min="6" max="6" width="31.1796875" customWidth="1"/>
    <col min="7" max="7" width="2.54296875" customWidth="1"/>
    <col min="8" max="8" width="6.54296875" customWidth="1"/>
    <col min="9" max="9" width="27.453125" customWidth="1"/>
    <col min="11" max="11" width="17.7265625" customWidth="1"/>
    <col min="12" max="12" width="11.1796875" customWidth="1"/>
  </cols>
  <sheetData>
    <row r="1" spans="1:12" ht="26">
      <c r="A1" s="1210" t="s">
        <v>734</v>
      </c>
      <c r="B1" s="1210"/>
      <c r="C1" s="1210"/>
      <c r="D1" s="1210"/>
      <c r="E1" s="1210"/>
      <c r="F1" s="1210"/>
      <c r="G1" s="1210"/>
      <c r="H1" s="1210"/>
      <c r="I1" s="1210"/>
      <c r="K1" s="109" t="s">
        <v>109</v>
      </c>
      <c r="L1" s="110" t="str">
        <f>IF('A1. Identification'!$D$13=0, " ",'A1. Identification'!$D$13)</f>
        <v xml:space="preserve"> </v>
      </c>
    </row>
    <row r="2" spans="1:12" ht="17.25" customHeight="1">
      <c r="K2" s="109" t="s">
        <v>301</v>
      </c>
      <c r="L2" s="889">
        <f>'A6d. Operations-Site 4'!L2</f>
        <v>0</v>
      </c>
    </row>
    <row r="3" spans="1:12" ht="22.5">
      <c r="A3" s="122" t="s">
        <v>487</v>
      </c>
      <c r="B3" s="123"/>
      <c r="C3" s="124"/>
      <c r="D3" s="124"/>
      <c r="E3" s="124"/>
      <c r="F3" s="125"/>
      <c r="G3" s="125"/>
      <c r="H3" s="125"/>
      <c r="I3" s="126"/>
    </row>
    <row r="4" spans="1:12" ht="20">
      <c r="A4" s="752"/>
      <c r="B4" s="127"/>
      <c r="C4" s="753"/>
      <c r="D4" s="753"/>
      <c r="E4" s="753"/>
      <c r="F4" s="128"/>
      <c r="G4" s="129"/>
      <c r="H4" s="129"/>
    </row>
    <row r="5" spans="1:12" ht="15.5">
      <c r="A5" s="127"/>
      <c r="B5" s="127"/>
      <c r="C5" s="754"/>
      <c r="D5" s="754"/>
      <c r="E5" s="754"/>
      <c r="F5" s="130"/>
      <c r="G5" s="131"/>
      <c r="H5" s="131"/>
      <c r="I5" s="1"/>
    </row>
    <row r="6" spans="1:12" ht="17.5">
      <c r="A6" s="1"/>
      <c r="B6" s="132" t="s">
        <v>488</v>
      </c>
      <c r="C6" s="133"/>
      <c r="D6" s="133"/>
      <c r="E6" s="133"/>
      <c r="F6" s="130"/>
      <c r="G6" s="131"/>
      <c r="H6" s="131"/>
      <c r="I6" s="1"/>
    </row>
    <row r="7" spans="1:12" ht="15.5">
      <c r="A7" s="1"/>
      <c r="B7" s="755" t="s">
        <v>489</v>
      </c>
      <c r="C7" s="133"/>
      <c r="D7" s="133"/>
      <c r="E7" s="133"/>
      <c r="F7" s="130"/>
      <c r="G7" s="131"/>
      <c r="H7" s="131"/>
      <c r="I7" s="1"/>
    </row>
    <row r="8" spans="1:12" ht="15.5">
      <c r="A8" s="134"/>
      <c r="B8" s="134"/>
      <c r="C8" s="135" t="s">
        <v>490</v>
      </c>
      <c r="D8" s="136"/>
      <c r="E8" s="137" t="s">
        <v>491</v>
      </c>
      <c r="F8" s="756">
        <f>'A6d. Operations-Site 4'!F7</f>
        <v>0</v>
      </c>
      <c r="G8" s="138"/>
      <c r="H8" s="138"/>
      <c r="I8" s="1"/>
    </row>
    <row r="9" spans="1:12" ht="15">
      <c r="A9" s="134"/>
      <c r="B9" s="134"/>
      <c r="C9" s="135" t="s">
        <v>492</v>
      </c>
      <c r="D9" s="134"/>
      <c r="E9" s="137" t="s">
        <v>493</v>
      </c>
      <c r="F9" s="881">
        <f>'A1. Identification'!D6</f>
        <v>0</v>
      </c>
      <c r="G9" s="138"/>
      <c r="H9" s="138"/>
      <c r="I9" s="134"/>
    </row>
    <row r="10" spans="1:12" ht="15">
      <c r="A10" s="134"/>
      <c r="B10" s="134"/>
      <c r="C10" s="135" t="s">
        <v>494</v>
      </c>
      <c r="D10" s="136"/>
      <c r="E10" s="137" t="s">
        <v>495</v>
      </c>
      <c r="F10" s="757">
        <f>'A6d. Operations-Site 4'!F8</f>
        <v>0</v>
      </c>
      <c r="G10" s="138"/>
      <c r="H10" s="138"/>
      <c r="I10" s="134"/>
    </row>
    <row r="11" spans="1:12" ht="15">
      <c r="A11" s="134"/>
      <c r="B11" s="134"/>
      <c r="C11" s="135" t="s">
        <v>496</v>
      </c>
      <c r="D11" s="136"/>
      <c r="E11" s="137" t="s">
        <v>497</v>
      </c>
      <c r="F11" s="758">
        <f>'A6d. Operations-Site 4'!F9</f>
        <v>0</v>
      </c>
      <c r="G11" s="139"/>
      <c r="H11" s="139"/>
      <c r="I11" s="279"/>
    </row>
    <row r="12" spans="1:12" ht="15.5">
      <c r="A12" s="134"/>
      <c r="B12" s="134"/>
      <c r="C12" s="135" t="s">
        <v>498</v>
      </c>
      <c r="D12" s="136"/>
      <c r="E12" s="136"/>
      <c r="F12" s="759" t="s">
        <v>726</v>
      </c>
      <c r="G12" s="141"/>
      <c r="H12" s="270"/>
      <c r="I12" s="1"/>
    </row>
    <row r="13" spans="1:12" ht="15.5">
      <c r="A13" s="134"/>
      <c r="B13" s="134"/>
      <c r="C13" s="760" t="s">
        <v>499</v>
      </c>
      <c r="D13" s="136"/>
      <c r="E13" s="137" t="s">
        <v>500</v>
      </c>
      <c r="F13" s="269">
        <v>232</v>
      </c>
      <c r="G13" s="142"/>
      <c r="H13" s="142"/>
      <c r="I13" s="1"/>
    </row>
    <row r="14" spans="1:12" ht="15.5">
      <c r="A14" s="134"/>
      <c r="B14" s="134"/>
      <c r="C14" s="135" t="s">
        <v>501</v>
      </c>
      <c r="D14" s="136"/>
      <c r="E14" s="137" t="s">
        <v>502</v>
      </c>
      <c r="F14" s="143">
        <v>2025</v>
      </c>
      <c r="G14" s="144"/>
      <c r="H14" s="144"/>
      <c r="I14" s="1"/>
    </row>
    <row r="15" spans="1:12" ht="15">
      <c r="A15" s="134"/>
      <c r="B15" s="761"/>
      <c r="C15" s="136"/>
      <c r="D15" s="136"/>
      <c r="E15" s="136"/>
      <c r="F15" s="761"/>
      <c r="G15" s="761"/>
      <c r="H15" s="761"/>
      <c r="I15" s="134"/>
    </row>
    <row r="16" spans="1:12" ht="17.5">
      <c r="A16" s="134"/>
      <c r="B16" s="132" t="s">
        <v>503</v>
      </c>
      <c r="C16" s="136"/>
      <c r="D16" s="136"/>
      <c r="E16" s="136"/>
      <c r="F16" s="761"/>
      <c r="G16" s="761"/>
      <c r="H16" s="761"/>
      <c r="I16" s="134"/>
    </row>
    <row r="17" spans="1:9" ht="15">
      <c r="A17" s="134"/>
      <c r="B17" s="755" t="s">
        <v>504</v>
      </c>
      <c r="C17" s="136"/>
      <c r="D17" s="136"/>
      <c r="E17" s="136"/>
      <c r="F17" s="761"/>
      <c r="G17" s="761"/>
      <c r="H17" s="761"/>
      <c r="I17" s="761"/>
    </row>
    <row r="18" spans="1:9" ht="15.5">
      <c r="A18" s="1"/>
      <c r="B18" s="1"/>
      <c r="C18" s="1" t="s">
        <v>505</v>
      </c>
      <c r="D18" s="133"/>
      <c r="E18" s="137" t="s">
        <v>506</v>
      </c>
      <c r="F18" s="762">
        <f>'A6d. Operations-Site 4'!F11</f>
        <v>0</v>
      </c>
      <c r="G18" s="145"/>
      <c r="H18" s="145"/>
      <c r="I18" s="279"/>
    </row>
    <row r="19" spans="1:9" ht="15.5">
      <c r="A19" s="1"/>
      <c r="B19" s="1"/>
      <c r="C19" s="133"/>
      <c r="D19" s="133"/>
      <c r="E19" s="133"/>
      <c r="F19" s="130"/>
      <c r="G19" s="131"/>
      <c r="H19" s="131"/>
      <c r="I19" s="1"/>
    </row>
    <row r="20" spans="1:9" ht="60" customHeight="1">
      <c r="A20" s="1"/>
      <c r="B20" s="763"/>
      <c r="C20" s="763"/>
      <c r="F20" s="764" t="s">
        <v>507</v>
      </c>
      <c r="H20" s="764"/>
      <c r="I20" s="764" t="s">
        <v>508</v>
      </c>
    </row>
    <row r="21" spans="1:9" ht="15.5">
      <c r="A21" s="1"/>
      <c r="C21" s="765" t="s">
        <v>509</v>
      </c>
      <c r="E21" s="766" t="s">
        <v>510</v>
      </c>
      <c r="F21" s="767">
        <f>('A2.Allocation &amp; Operating Plan'!C105+'A2.Allocation &amp; Operating Plan'!C106)*'A2.Allocation &amp; Operating Plan'!C107</f>
        <v>0</v>
      </c>
      <c r="H21" s="766" t="s">
        <v>511</v>
      </c>
      <c r="I21" s="767">
        <f>+'A2.Allocation &amp; Operating Plan'!C107*'A2.Allocation &amp; Operating Plan'!C109</f>
        <v>0</v>
      </c>
    </row>
    <row r="22" spans="1:9" ht="15.5">
      <c r="A22" s="1"/>
      <c r="C22" s="765" t="s">
        <v>512</v>
      </c>
      <c r="E22" s="766" t="s">
        <v>513</v>
      </c>
      <c r="F22" s="767">
        <f>('A2.Allocation &amp; Operating Plan'!D105+'A2.Allocation &amp; Operating Plan'!D106)*'A2.Allocation &amp; Operating Plan'!D107</f>
        <v>0</v>
      </c>
      <c r="H22" s="766" t="s">
        <v>514</v>
      </c>
      <c r="I22" s="767">
        <f>+'A2.Allocation &amp; Operating Plan'!D107*'A2.Allocation &amp; Operating Plan'!D109</f>
        <v>0</v>
      </c>
    </row>
    <row r="23" spans="1:9" ht="30">
      <c r="A23" s="1"/>
      <c r="C23" s="765" t="s">
        <v>4</v>
      </c>
      <c r="E23" s="766" t="s">
        <v>515</v>
      </c>
      <c r="F23" s="767">
        <f>('A2.Allocation &amp; Operating Plan'!E105+'A2.Allocation &amp; Operating Plan'!E106)*'A2.Allocation &amp; Operating Plan'!E107</f>
        <v>0</v>
      </c>
      <c r="H23" s="766" t="s">
        <v>516</v>
      </c>
      <c r="I23" s="767">
        <f>'A2.Allocation &amp; Operating Plan'!E107*'A2.Allocation &amp; Operating Plan'!E109</f>
        <v>0</v>
      </c>
    </row>
    <row r="24" spans="1:9" ht="30">
      <c r="A24" s="1"/>
      <c r="C24" s="765" t="s">
        <v>517</v>
      </c>
      <c r="E24" s="766" t="s">
        <v>518</v>
      </c>
      <c r="F24" s="767">
        <f>('A2.Allocation &amp; Operating Plan'!F105+'A2.Allocation &amp; Operating Plan'!F106)*'A2.Allocation &amp; Operating Plan'!F107</f>
        <v>0</v>
      </c>
      <c r="H24" s="766" t="s">
        <v>519</v>
      </c>
      <c r="I24" s="767">
        <f>'A2.Allocation &amp; Operating Plan'!F107*'A2.Allocation &amp; Operating Plan'!F109</f>
        <v>0</v>
      </c>
    </row>
    <row r="25" spans="1:9" ht="30">
      <c r="A25" s="127"/>
      <c r="C25" s="765" t="s">
        <v>520</v>
      </c>
      <c r="E25" s="766" t="s">
        <v>521</v>
      </c>
      <c r="F25" s="767">
        <f>('A2.Allocation &amp; Operating Plan'!G105+'A2.Allocation &amp; Operating Plan'!G106)*'A2.Allocation &amp; Operating Plan'!G107</f>
        <v>0</v>
      </c>
      <c r="H25" s="766" t="s">
        <v>522</v>
      </c>
      <c r="I25" s="767">
        <f>'A2.Allocation &amp; Operating Plan'!G107*'A2.Allocation &amp; Operating Plan'!G109</f>
        <v>0</v>
      </c>
    </row>
    <row r="26" spans="1:9" ht="30">
      <c r="A26" s="127"/>
      <c r="C26" s="765" t="s">
        <v>523</v>
      </c>
      <c r="E26" s="766" t="s">
        <v>524</v>
      </c>
      <c r="F26" s="767">
        <f>(('A2.Allocation &amp; Operating Plan'!H105+'A2.Allocation &amp; Operating Plan'!H106)*'A2.Allocation &amp; Operating Plan'!H107)+(('A2.Allocation &amp; Operating Plan'!I105+'A2.Allocation &amp; Operating Plan'!I106)*'A2.Allocation &amp; Operating Plan'!I107)</f>
        <v>0</v>
      </c>
      <c r="H26" s="766" t="s">
        <v>525</v>
      </c>
      <c r="I26" s="767">
        <f>('A2.Allocation &amp; Operating Plan'!H107*'A2.Allocation &amp; Operating Plan'!H109)+('A2.Allocation &amp; Operating Plan'!I107*'A2.Allocation &amp; Operating Plan'!I109)</f>
        <v>0</v>
      </c>
    </row>
    <row r="27" spans="1:9" ht="15.5">
      <c r="A27" s="127"/>
      <c r="C27" s="768" t="s">
        <v>87</v>
      </c>
      <c r="F27" s="147">
        <f>+SUM(F21:F26)</f>
        <v>0</v>
      </c>
      <c r="H27" s="146"/>
      <c r="I27" s="147">
        <f>+SUM(I21:I26)</f>
        <v>0</v>
      </c>
    </row>
    <row r="29" spans="1:9" ht="17.5">
      <c r="B29" s="769" t="s">
        <v>526</v>
      </c>
      <c r="C29" s="148"/>
      <c r="D29" s="148"/>
      <c r="E29" s="148"/>
      <c r="F29" s="149"/>
      <c r="G29" s="149"/>
      <c r="H29" s="149"/>
      <c r="I29" s="1"/>
    </row>
    <row r="30" spans="1:9" ht="17.5">
      <c r="B30" s="770" t="s">
        <v>527</v>
      </c>
      <c r="C30" s="148"/>
      <c r="D30" s="148"/>
      <c r="E30" s="148"/>
      <c r="F30" s="149"/>
      <c r="G30" s="150"/>
      <c r="H30" s="150"/>
      <c r="I30" s="1"/>
    </row>
    <row r="31" spans="1:9" ht="15.5">
      <c r="B31" s="755" t="s">
        <v>528</v>
      </c>
      <c r="C31" s="1"/>
      <c r="D31" s="1"/>
      <c r="E31" s="1"/>
      <c r="F31" s="1"/>
      <c r="G31" s="1"/>
      <c r="H31" s="1"/>
      <c r="I31" s="1"/>
    </row>
    <row r="32" spans="1:9" ht="15.5">
      <c r="B32" s="151"/>
      <c r="C32" s="1" t="s">
        <v>529</v>
      </c>
      <c r="D32" s="1"/>
      <c r="E32" s="152" t="s">
        <v>530</v>
      </c>
      <c r="F32" s="771">
        <f>'A6d. Operations-Site 4'!E20</f>
        <v>0</v>
      </c>
      <c r="G32" s="153"/>
      <c r="H32" s="153"/>
      <c r="I32" s="279"/>
    </row>
    <row r="33" spans="2:22" ht="15.5">
      <c r="B33" s="772"/>
      <c r="C33" s="1" t="s">
        <v>531</v>
      </c>
      <c r="D33" s="1"/>
      <c r="E33" s="152" t="s">
        <v>532</v>
      </c>
      <c r="F33" s="771">
        <f>'A6d. Operations-Site 4'!E21+'A6d. Operations-Site 4'!E24</f>
        <v>0</v>
      </c>
      <c r="G33" s="153"/>
      <c r="H33" s="153"/>
      <c r="I33" s="140"/>
    </row>
    <row r="34" spans="2:22" ht="15.5">
      <c r="B34" s="1"/>
      <c r="C34" s="133"/>
      <c r="D34" s="133"/>
      <c r="E34" s="133"/>
      <c r="F34" s="154"/>
      <c r="G34" s="155"/>
      <c r="H34" s="155"/>
      <c r="I34" s="156"/>
    </row>
    <row r="35" spans="2:22" ht="17.5">
      <c r="B35" s="769" t="s">
        <v>533</v>
      </c>
      <c r="C35" s="133"/>
      <c r="D35" s="133"/>
      <c r="E35" s="133"/>
      <c r="F35" s="149"/>
      <c r="G35" s="150"/>
      <c r="H35" s="150"/>
      <c r="I35" s="773"/>
    </row>
    <row r="36" spans="2:22" ht="15.5">
      <c r="B36" s="755" t="s">
        <v>534</v>
      </c>
      <c r="C36" s="133"/>
      <c r="D36" s="133"/>
      <c r="E36" s="133"/>
      <c r="F36" s="149"/>
      <c r="G36" s="150"/>
      <c r="H36" s="150"/>
      <c r="I36" s="773"/>
    </row>
    <row r="37" spans="2:22" ht="15.5">
      <c r="B37" s="755" t="s">
        <v>535</v>
      </c>
      <c r="C37" s="133"/>
      <c r="D37" s="133"/>
      <c r="E37" s="133"/>
      <c r="F37" s="149"/>
      <c r="G37" s="150"/>
      <c r="H37" s="150"/>
      <c r="I37" s="773"/>
    </row>
    <row r="38" spans="2:22" ht="15.5">
      <c r="B38" s="157"/>
      <c r="C38" s="133"/>
      <c r="D38" s="133"/>
      <c r="E38" s="133"/>
      <c r="F38" s="158" t="s">
        <v>536</v>
      </c>
      <c r="G38" s="159"/>
      <c r="H38" s="159"/>
      <c r="I38" s="746" t="s">
        <v>880</v>
      </c>
      <c r="J38" s="774"/>
      <c r="K38" s="774"/>
      <c r="L38" s="774"/>
      <c r="M38" s="774"/>
      <c r="N38" s="774"/>
      <c r="O38" s="774"/>
      <c r="P38" s="774"/>
      <c r="Q38" s="774"/>
      <c r="R38" s="774"/>
      <c r="S38" s="774"/>
      <c r="T38" s="774"/>
      <c r="U38" s="774"/>
      <c r="V38" s="774"/>
    </row>
    <row r="39" spans="2:22" ht="15.5">
      <c r="B39" s="160"/>
      <c r="C39" s="775" t="s">
        <v>537</v>
      </c>
      <c r="D39" s="775"/>
      <c r="E39" s="775"/>
      <c r="F39" s="158"/>
      <c r="G39" s="159"/>
      <c r="H39" s="159"/>
      <c r="I39" s="746"/>
      <c r="J39" s="774"/>
      <c r="K39" s="774"/>
      <c r="L39" s="774"/>
      <c r="M39" s="774"/>
      <c r="N39" s="774"/>
      <c r="O39" s="774"/>
      <c r="P39" s="774"/>
      <c r="Q39" s="774"/>
      <c r="R39" s="774"/>
      <c r="S39" s="774"/>
      <c r="T39" s="774"/>
      <c r="U39" s="774"/>
      <c r="V39" s="774"/>
    </row>
    <row r="40" spans="2:22" ht="15.5">
      <c r="B40" s="160"/>
      <c r="C40" s="776" t="s">
        <v>538</v>
      </c>
      <c r="D40" s="776"/>
      <c r="E40" s="777" t="s">
        <v>539</v>
      </c>
      <c r="F40" s="771">
        <f>'A6d. Operations-Site 4'!E38+'A6d. Operations-Site 4'!E39</f>
        <v>0</v>
      </c>
      <c r="G40" s="153"/>
      <c r="H40" s="153"/>
      <c r="I40" s="747" t="str">
        <f>+IFERROR(F40/$F$73,"")</f>
        <v/>
      </c>
      <c r="J40" s="774"/>
      <c r="K40" s="774"/>
      <c r="L40" s="774"/>
      <c r="M40" s="774"/>
      <c r="N40" s="774"/>
      <c r="O40" s="774"/>
      <c r="P40" s="774"/>
      <c r="Q40" s="774"/>
      <c r="R40" s="774"/>
      <c r="S40" s="774"/>
      <c r="T40" s="774"/>
      <c r="U40" s="774"/>
      <c r="V40" s="774"/>
    </row>
    <row r="41" spans="2:22" ht="15.5">
      <c r="B41" s="160"/>
      <c r="C41" s="776" t="s">
        <v>540</v>
      </c>
      <c r="D41" s="776"/>
      <c r="E41" s="777" t="s">
        <v>541</v>
      </c>
      <c r="F41" s="771">
        <f>'A6d. Operations-Site 4'!E40+'A6d. Operations-Site 4'!E41</f>
        <v>0</v>
      </c>
      <c r="G41" s="153"/>
      <c r="H41" s="153"/>
      <c r="I41" s="747" t="str">
        <f t="shared" ref="I41:I43" si="0">+IFERROR(F41/$F$73,"")</f>
        <v/>
      </c>
      <c r="J41" s="774"/>
      <c r="K41" s="774"/>
      <c r="L41" s="774"/>
      <c r="M41" s="774"/>
      <c r="N41" s="774"/>
      <c r="O41" s="774"/>
      <c r="P41" s="774"/>
      <c r="Q41" s="774"/>
      <c r="R41" s="774"/>
      <c r="S41" s="774"/>
      <c r="T41" s="774"/>
      <c r="U41" s="774"/>
      <c r="V41" s="774"/>
    </row>
    <row r="42" spans="2:22" ht="15.5">
      <c r="B42" s="160"/>
      <c r="C42" s="776" t="s">
        <v>542</v>
      </c>
      <c r="D42" s="776"/>
      <c r="E42" s="777" t="s">
        <v>543</v>
      </c>
      <c r="F42" s="771">
        <f>'A6d. Operations-Site 4'!E42</f>
        <v>0</v>
      </c>
      <c r="G42" s="153"/>
      <c r="H42" s="153"/>
      <c r="I42" s="747" t="str">
        <f t="shared" si="0"/>
        <v/>
      </c>
      <c r="J42" s="774"/>
      <c r="K42" s="774"/>
      <c r="L42" s="774"/>
      <c r="M42" s="774"/>
      <c r="N42" s="774"/>
      <c r="O42" s="774"/>
      <c r="P42" s="774"/>
      <c r="Q42" s="774"/>
      <c r="R42" s="774"/>
      <c r="S42" s="774"/>
      <c r="T42" s="774"/>
      <c r="U42" s="774"/>
      <c r="V42" s="774"/>
    </row>
    <row r="43" spans="2:22" ht="15.5">
      <c r="B43" s="160"/>
      <c r="C43" s="776" t="s">
        <v>544</v>
      </c>
      <c r="D43" s="776"/>
      <c r="E43" s="777" t="s">
        <v>545</v>
      </c>
      <c r="F43" s="771">
        <f>'A6d. Operations-Site 4'!E43</f>
        <v>0</v>
      </c>
      <c r="G43" s="161"/>
      <c r="H43" s="161"/>
      <c r="I43" s="747" t="str">
        <f t="shared" si="0"/>
        <v/>
      </c>
      <c r="J43" s="774"/>
      <c r="K43" s="774"/>
      <c r="L43" s="774"/>
      <c r="M43" s="774"/>
      <c r="N43" s="774"/>
      <c r="O43" s="774"/>
      <c r="P43" s="774"/>
      <c r="Q43" s="774"/>
      <c r="R43" s="774"/>
      <c r="S43" s="774"/>
      <c r="T43" s="774"/>
      <c r="U43" s="774"/>
      <c r="V43" s="774"/>
    </row>
    <row r="44" spans="2:22" ht="15.5">
      <c r="B44" s="160"/>
      <c r="C44" s="776" t="s">
        <v>546</v>
      </c>
      <c r="D44" s="776"/>
      <c r="E44" s="777" t="s">
        <v>547</v>
      </c>
      <c r="F44" s="778">
        <f>'A6d. Operations-Site 4'!E44</f>
        <v>0</v>
      </c>
      <c r="G44" s="153"/>
      <c r="H44" s="433"/>
      <c r="I44" s="747"/>
      <c r="J44" s="774"/>
      <c r="K44" s="774"/>
      <c r="L44" s="700"/>
      <c r="M44" s="700"/>
      <c r="N44" s="700"/>
      <c r="O44" s="700"/>
      <c r="P44" s="774"/>
      <c r="Q44" s="774"/>
      <c r="R44" s="774"/>
      <c r="S44" s="774"/>
      <c r="T44" s="774"/>
      <c r="U44" s="774"/>
      <c r="V44" s="774"/>
    </row>
    <row r="45" spans="2:22" ht="15.5">
      <c r="B45" s="160"/>
      <c r="C45" s="776" t="s">
        <v>548</v>
      </c>
      <c r="D45" s="776"/>
      <c r="E45" s="777" t="s">
        <v>549</v>
      </c>
      <c r="F45" s="771">
        <f>'A4. KPIs'!H61</f>
        <v>0</v>
      </c>
      <c r="G45" s="162"/>
      <c r="H45" s="162"/>
      <c r="I45" s="779"/>
      <c r="J45" s="774"/>
      <c r="K45" s="774"/>
      <c r="L45" s="774"/>
      <c r="M45" s="774"/>
      <c r="N45" s="774"/>
      <c r="O45" s="774"/>
      <c r="P45" s="774"/>
      <c r="Q45" s="774"/>
      <c r="R45" s="774"/>
      <c r="S45" s="774"/>
      <c r="T45" s="774"/>
      <c r="U45" s="774"/>
      <c r="V45" s="774"/>
    </row>
    <row r="46" spans="2:22" ht="15.5">
      <c r="B46" s="157"/>
      <c r="C46" s="776"/>
      <c r="D46" s="776"/>
      <c r="E46" s="776"/>
      <c r="F46" s="780"/>
      <c r="G46" s="780"/>
      <c r="H46" s="780"/>
      <c r="I46" s="748"/>
      <c r="J46" s="774"/>
      <c r="K46" s="774"/>
      <c r="L46" s="774"/>
      <c r="M46" s="774"/>
      <c r="N46" s="774"/>
      <c r="O46" s="774"/>
      <c r="P46" s="774"/>
      <c r="Q46" s="774"/>
      <c r="R46" s="774"/>
      <c r="S46" s="774"/>
      <c r="T46" s="774"/>
      <c r="U46" s="774"/>
      <c r="V46" s="774"/>
    </row>
    <row r="47" spans="2:22" ht="15.5">
      <c r="B47" s="781"/>
      <c r="C47" s="775" t="s">
        <v>550</v>
      </c>
      <c r="D47" s="775"/>
      <c r="E47" s="775"/>
      <c r="F47" s="780"/>
      <c r="G47" s="780"/>
      <c r="H47" s="780"/>
      <c r="I47" s="748"/>
      <c r="J47" s="774"/>
      <c r="K47" s="774"/>
      <c r="L47" s="774"/>
      <c r="M47" s="774"/>
      <c r="N47" s="774"/>
      <c r="O47" s="774"/>
      <c r="P47" s="774"/>
      <c r="Q47" s="774"/>
      <c r="R47" s="774"/>
      <c r="S47" s="774"/>
      <c r="T47" s="774"/>
      <c r="U47" s="774"/>
      <c r="V47" s="774"/>
    </row>
    <row r="48" spans="2:22" ht="15.5">
      <c r="B48" s="160"/>
      <c r="C48" s="776" t="s">
        <v>551</v>
      </c>
      <c r="D48" s="776"/>
      <c r="E48" s="777" t="s">
        <v>552</v>
      </c>
      <c r="F48" s="771">
        <f>'A6d. Operations-Site 4'!E46+'A6d. Operations-Site 4'!E47</f>
        <v>0</v>
      </c>
      <c r="G48" s="161"/>
      <c r="H48" s="161"/>
      <c r="I48" s="747" t="str">
        <f>+IFERROR(F48/$F$73,"")</f>
        <v/>
      </c>
      <c r="J48" s="774"/>
      <c r="K48" s="774"/>
      <c r="L48" s="774"/>
      <c r="M48" s="774"/>
      <c r="N48" s="774"/>
      <c r="O48" s="774"/>
      <c r="P48" s="774"/>
      <c r="Q48" s="774"/>
      <c r="R48" s="774"/>
      <c r="S48" s="774"/>
      <c r="T48" s="774"/>
      <c r="U48" s="774"/>
      <c r="V48" s="774"/>
    </row>
    <row r="49" spans="2:22" ht="15.5">
      <c r="B49" s="160"/>
      <c r="C49" s="776" t="s">
        <v>553</v>
      </c>
      <c r="D49" s="776"/>
      <c r="E49" s="163" t="s">
        <v>554</v>
      </c>
      <c r="F49" s="771">
        <f>'A6d. Operations-Site 4'!E48+'A6d. Operations-Site 4'!E49</f>
        <v>0</v>
      </c>
      <c r="G49" s="161"/>
      <c r="H49" s="161"/>
      <c r="I49" s="747" t="str">
        <f t="shared" ref="I49:I52" si="1">+IFERROR(F49/$F$73,"")</f>
        <v/>
      </c>
      <c r="J49" s="774"/>
      <c r="K49" s="774"/>
      <c r="L49" s="774"/>
      <c r="M49" s="774"/>
      <c r="N49" s="774"/>
      <c r="O49" s="774"/>
      <c r="P49" s="774"/>
      <c r="Q49" s="774"/>
      <c r="R49" s="774"/>
      <c r="S49" s="774"/>
      <c r="T49" s="774"/>
      <c r="U49" s="774"/>
      <c r="V49" s="774"/>
    </row>
    <row r="50" spans="2:22" ht="15.5">
      <c r="B50" s="160"/>
      <c r="C50" s="776" t="s">
        <v>555</v>
      </c>
      <c r="D50" s="776"/>
      <c r="E50" s="163" t="s">
        <v>556</v>
      </c>
      <c r="F50" s="771">
        <f>'A6d. Operations-Site 4'!E50</f>
        <v>0</v>
      </c>
      <c r="G50" s="161"/>
      <c r="H50" s="161"/>
      <c r="I50" s="747" t="str">
        <f t="shared" si="1"/>
        <v/>
      </c>
      <c r="J50" s="774"/>
      <c r="K50" s="774"/>
      <c r="L50" s="774"/>
      <c r="M50" s="774"/>
      <c r="N50" s="774"/>
      <c r="O50" s="774"/>
      <c r="P50" s="774"/>
      <c r="Q50" s="774"/>
      <c r="R50" s="774"/>
      <c r="S50" s="774"/>
      <c r="T50" s="774"/>
      <c r="U50" s="774"/>
      <c r="V50" s="774"/>
    </row>
    <row r="51" spans="2:22" ht="15.5">
      <c r="B51" s="160"/>
      <c r="C51" s="776" t="s">
        <v>557</v>
      </c>
      <c r="D51" s="776"/>
      <c r="E51" s="163" t="s">
        <v>558</v>
      </c>
      <c r="F51" s="771">
        <f>'A6d. Operations-Site 4'!E51</f>
        <v>0</v>
      </c>
      <c r="G51" s="161"/>
      <c r="H51" s="161"/>
      <c r="I51" s="747" t="str">
        <f t="shared" si="1"/>
        <v/>
      </c>
      <c r="J51" s="774"/>
      <c r="K51" s="774"/>
      <c r="L51" s="774"/>
      <c r="M51" s="774"/>
      <c r="N51" s="774"/>
      <c r="O51" s="774"/>
      <c r="P51" s="774"/>
      <c r="Q51" s="774"/>
      <c r="R51" s="774"/>
      <c r="S51" s="774"/>
      <c r="T51" s="774"/>
      <c r="U51" s="774"/>
      <c r="V51" s="774"/>
    </row>
    <row r="52" spans="2:22" ht="15.5">
      <c r="B52" s="160"/>
      <c r="C52" s="776" t="s">
        <v>559</v>
      </c>
      <c r="D52" s="776"/>
      <c r="E52" s="163" t="s">
        <v>560</v>
      </c>
      <c r="F52" s="771">
        <f>'A6d. Operations-Site 4'!E52</f>
        <v>0</v>
      </c>
      <c r="G52" s="161"/>
      <c r="H52" s="161"/>
      <c r="I52" s="747" t="str">
        <f t="shared" si="1"/>
        <v/>
      </c>
      <c r="J52" s="774"/>
      <c r="K52" s="774"/>
      <c r="L52" s="774"/>
      <c r="M52" s="774"/>
      <c r="N52" s="774"/>
      <c r="O52" s="774"/>
      <c r="P52" s="774"/>
      <c r="Q52" s="774"/>
      <c r="R52" s="774"/>
      <c r="S52" s="774"/>
      <c r="T52" s="774"/>
      <c r="U52" s="774"/>
      <c r="V52" s="774"/>
    </row>
    <row r="53" spans="2:22" ht="15.5">
      <c r="B53" s="160"/>
      <c r="C53" s="776" t="s">
        <v>561</v>
      </c>
      <c r="D53" s="776"/>
      <c r="E53" s="163" t="s">
        <v>562</v>
      </c>
      <c r="F53" s="771">
        <f>'A4. KPIs'!H62</f>
        <v>0</v>
      </c>
      <c r="G53" s="164"/>
      <c r="H53" s="164"/>
      <c r="I53" s="749"/>
      <c r="J53" s="774"/>
      <c r="K53" s="774"/>
      <c r="L53" s="774"/>
      <c r="M53" s="774"/>
      <c r="N53" s="774"/>
      <c r="O53" s="774"/>
      <c r="P53" s="774"/>
      <c r="Q53" s="774"/>
      <c r="R53" s="774"/>
      <c r="S53" s="774"/>
      <c r="T53" s="774"/>
      <c r="U53" s="774"/>
      <c r="V53" s="774"/>
    </row>
    <row r="54" spans="2:22" ht="15.5">
      <c r="B54" s="157"/>
      <c r="C54" s="776"/>
      <c r="D54" s="776"/>
      <c r="E54" s="133"/>
      <c r="F54" s="780"/>
      <c r="G54" s="780"/>
      <c r="H54" s="780"/>
      <c r="I54" s="748"/>
      <c r="J54" s="774"/>
      <c r="K54" s="774"/>
      <c r="L54" s="774"/>
      <c r="M54" s="774"/>
      <c r="N54" s="774"/>
      <c r="O54" s="774"/>
      <c r="P54" s="774"/>
      <c r="Q54" s="774"/>
      <c r="R54" s="774"/>
      <c r="S54" s="774"/>
      <c r="T54" s="774"/>
      <c r="U54" s="774"/>
      <c r="V54" s="774"/>
    </row>
    <row r="55" spans="2:22" ht="15.5">
      <c r="B55" s="781"/>
      <c r="C55" s="775" t="s">
        <v>231</v>
      </c>
      <c r="D55" s="775"/>
      <c r="E55" s="133"/>
      <c r="F55" s="780"/>
      <c r="G55" s="780"/>
      <c r="H55" s="780"/>
      <c r="I55" s="748"/>
      <c r="J55" s="774"/>
      <c r="K55" s="774"/>
      <c r="L55" s="774"/>
      <c r="M55" s="774"/>
      <c r="N55" s="774"/>
      <c r="O55" s="774"/>
      <c r="P55" s="774"/>
      <c r="Q55" s="774"/>
      <c r="R55" s="774"/>
      <c r="S55" s="774"/>
      <c r="T55" s="774"/>
      <c r="U55" s="774"/>
      <c r="V55" s="774"/>
    </row>
    <row r="56" spans="2:22" ht="15.5">
      <c r="B56" s="160"/>
      <c r="C56" s="776" t="s">
        <v>563</v>
      </c>
      <c r="D56" s="776"/>
      <c r="E56" s="163" t="s">
        <v>564</v>
      </c>
      <c r="F56" s="771">
        <f>'A6d. Operations-Site 4'!E67</f>
        <v>0</v>
      </c>
      <c r="G56" s="153"/>
      <c r="H56" s="153"/>
      <c r="I56" s="747" t="str">
        <f>+IFERROR(F56/$F$73,"")</f>
        <v/>
      </c>
      <c r="J56" s="774"/>
      <c r="K56" s="774"/>
      <c r="L56" s="774"/>
      <c r="M56" s="774"/>
      <c r="N56" s="774"/>
      <c r="O56" s="774"/>
      <c r="P56" s="774"/>
      <c r="Q56" s="774"/>
      <c r="R56" s="774"/>
      <c r="S56" s="774"/>
      <c r="T56" s="774"/>
      <c r="U56" s="774"/>
      <c r="V56" s="774"/>
    </row>
    <row r="57" spans="2:22" ht="15.5">
      <c r="B57" s="160"/>
      <c r="C57" s="776" t="s">
        <v>565</v>
      </c>
      <c r="D57" s="776"/>
      <c r="E57" s="163" t="s">
        <v>566</v>
      </c>
      <c r="F57" s="771">
        <f>'A6d. Operations-Site 4'!E63</f>
        <v>0</v>
      </c>
      <c r="G57" s="153"/>
      <c r="H57" s="153"/>
      <c r="I57" s="747" t="str">
        <f t="shared" ref="I57:I60" si="2">+IFERROR(F57/$F$73,"")</f>
        <v/>
      </c>
      <c r="J57" s="774"/>
      <c r="K57" s="774"/>
      <c r="L57" s="774"/>
      <c r="M57" s="774"/>
      <c r="N57" s="774"/>
      <c r="O57" s="774"/>
      <c r="P57" s="774"/>
      <c r="Q57" s="774"/>
      <c r="R57" s="774"/>
      <c r="S57" s="774"/>
      <c r="T57" s="774"/>
      <c r="U57" s="774"/>
      <c r="V57" s="774"/>
    </row>
    <row r="58" spans="2:22" ht="34.5" customHeight="1">
      <c r="B58" s="160"/>
      <c r="C58" s="133" t="s">
        <v>567</v>
      </c>
      <c r="D58" s="776"/>
      <c r="E58" s="163" t="s">
        <v>568</v>
      </c>
      <c r="F58" s="771">
        <f>'A6d. Operations-Site 4'!E82</f>
        <v>0</v>
      </c>
      <c r="G58" s="153"/>
      <c r="H58" s="153"/>
      <c r="I58" s="747" t="str">
        <f t="shared" si="2"/>
        <v/>
      </c>
      <c r="J58" s="774"/>
      <c r="K58" s="774"/>
      <c r="L58" s="774"/>
      <c r="M58" s="774"/>
      <c r="N58" s="774"/>
      <c r="O58" s="774"/>
      <c r="P58" s="774"/>
      <c r="Q58" s="774"/>
      <c r="R58" s="774"/>
      <c r="S58" s="774"/>
      <c r="T58" s="774"/>
      <c r="U58" s="774"/>
      <c r="V58" s="774"/>
    </row>
    <row r="59" spans="2:22" ht="15.5">
      <c r="B59" s="160"/>
      <c r="C59" s="776" t="s">
        <v>569</v>
      </c>
      <c r="D59" s="776"/>
      <c r="E59" s="163" t="s">
        <v>570</v>
      </c>
      <c r="F59" s="771">
        <f>'A6d. Operations-Site 4'!E64</f>
        <v>0</v>
      </c>
      <c r="G59" s="153"/>
      <c r="H59" s="153"/>
      <c r="I59" s="747" t="str">
        <f t="shared" si="2"/>
        <v/>
      </c>
      <c r="J59" s="774"/>
      <c r="K59" s="774"/>
      <c r="L59" s="774"/>
      <c r="M59" s="774"/>
      <c r="N59" s="774"/>
      <c r="O59" s="774"/>
      <c r="P59" s="774"/>
      <c r="Q59" s="774"/>
      <c r="R59" s="774"/>
      <c r="S59" s="774"/>
      <c r="T59" s="774"/>
      <c r="U59" s="774"/>
      <c r="V59" s="774"/>
    </row>
    <row r="60" spans="2:22" ht="15.5">
      <c r="B60" s="160"/>
      <c r="C60" s="776" t="s">
        <v>571</v>
      </c>
      <c r="D60" s="776"/>
      <c r="E60" s="163" t="s">
        <v>572</v>
      </c>
      <c r="F60" s="771">
        <f>'A6d. Operations-Site 4'!E69</f>
        <v>0</v>
      </c>
      <c r="G60" s="153"/>
      <c r="H60" s="153"/>
      <c r="I60" s="747" t="str">
        <f t="shared" si="2"/>
        <v/>
      </c>
      <c r="J60" s="774"/>
      <c r="K60" s="774"/>
      <c r="L60" s="774"/>
      <c r="M60" s="774"/>
      <c r="N60" s="774"/>
      <c r="O60" s="774"/>
      <c r="P60" s="774"/>
      <c r="Q60" s="774"/>
      <c r="R60" s="774"/>
      <c r="S60" s="774"/>
      <c r="T60" s="774"/>
      <c r="U60" s="774"/>
      <c r="V60" s="774"/>
    </row>
    <row r="61" spans="2:22" ht="15.5">
      <c r="B61" s="157"/>
      <c r="C61" s="133"/>
      <c r="D61" s="133"/>
      <c r="E61" s="133"/>
      <c r="F61" s="133"/>
      <c r="G61" s="133"/>
      <c r="H61" s="133"/>
      <c r="I61" s="782"/>
      <c r="J61" s="774"/>
      <c r="K61" s="774"/>
      <c r="L61" s="774"/>
      <c r="M61" s="774"/>
      <c r="N61" s="774"/>
      <c r="O61" s="774"/>
      <c r="P61" s="774"/>
      <c r="Q61" s="774"/>
      <c r="R61" s="774"/>
      <c r="S61" s="774"/>
      <c r="T61" s="774"/>
      <c r="U61" s="774"/>
      <c r="V61" s="774"/>
    </row>
    <row r="62" spans="2:22" ht="15.5">
      <c r="B62" s="157"/>
      <c r="C62" s="775" t="s">
        <v>89</v>
      </c>
      <c r="D62" s="775"/>
      <c r="E62" s="775"/>
      <c r="F62" s="1"/>
      <c r="G62" s="1"/>
      <c r="H62" s="1"/>
      <c r="I62" s="748"/>
      <c r="J62" s="774"/>
      <c r="K62" s="774"/>
      <c r="L62" s="774"/>
      <c r="M62" s="774"/>
      <c r="N62" s="774"/>
      <c r="O62" s="774"/>
      <c r="P62" s="774"/>
      <c r="Q62" s="774"/>
      <c r="R62" s="774"/>
      <c r="S62" s="774"/>
      <c r="T62" s="774"/>
      <c r="U62" s="774"/>
      <c r="V62" s="774"/>
    </row>
    <row r="63" spans="2:22" ht="22.5" customHeight="1">
      <c r="B63" s="783"/>
      <c r="C63" s="136" t="s">
        <v>573</v>
      </c>
      <c r="D63" s="136"/>
      <c r="E63" s="784" t="s">
        <v>574</v>
      </c>
      <c r="F63" s="785">
        <f>'A6d. Operations-Site 4'!E54+'A6d. Operations-Site 4'!E56+'A6d. Operations-Site 4'!E58+'A6d. Operations-Site 4'!E60</f>
        <v>0</v>
      </c>
      <c r="G63" s="165"/>
      <c r="H63" s="165"/>
      <c r="I63" s="747" t="str">
        <f>+IFERROR(F63/$F$73,"")</f>
        <v/>
      </c>
      <c r="J63" s="774"/>
      <c r="K63" s="774"/>
      <c r="L63" s="774"/>
      <c r="M63" s="774"/>
      <c r="N63" s="774"/>
      <c r="O63" s="774"/>
      <c r="P63" s="774"/>
      <c r="Q63" s="774"/>
      <c r="R63" s="774"/>
      <c r="S63" s="774"/>
      <c r="T63" s="774"/>
      <c r="U63" s="774"/>
      <c r="V63" s="774"/>
    </row>
    <row r="64" spans="2:22" ht="15">
      <c r="B64" s="783"/>
      <c r="C64" s="136" t="s">
        <v>575</v>
      </c>
      <c r="D64" s="136"/>
      <c r="E64" s="784" t="s">
        <v>576</v>
      </c>
      <c r="F64" s="786">
        <f>'A6d. Operations-Site 4'!E55+'A6d. Operations-Site 4'!E57</f>
        <v>0</v>
      </c>
      <c r="G64" s="165"/>
      <c r="H64" s="165"/>
      <c r="I64" s="747" t="str">
        <f t="shared" ref="I64:I70" si="3">+IFERROR(F64/$F$73,"")</f>
        <v/>
      </c>
      <c r="J64" s="774"/>
      <c r="K64" s="774"/>
      <c r="L64" s="774"/>
      <c r="M64" s="774"/>
      <c r="N64" s="774"/>
      <c r="O64" s="774"/>
      <c r="P64" s="774"/>
      <c r="Q64" s="774"/>
      <c r="R64" s="774"/>
      <c r="S64" s="774"/>
      <c r="T64" s="774"/>
      <c r="U64" s="774"/>
      <c r="V64" s="774"/>
    </row>
    <row r="65" spans="2:22" ht="15">
      <c r="B65" s="783"/>
      <c r="C65" s="136" t="s">
        <v>577</v>
      </c>
      <c r="D65" s="136"/>
      <c r="E65" s="784" t="s">
        <v>578</v>
      </c>
      <c r="F65" s="785">
        <f>'A6d. Operations-Site 4'!E72+'A6d. Operations-Site 4'!E73+'A6d. Operations-Site 4'!E74</f>
        <v>0</v>
      </c>
      <c r="G65" s="165"/>
      <c r="H65" s="165"/>
      <c r="I65" s="747" t="str">
        <f t="shared" si="3"/>
        <v/>
      </c>
      <c r="J65" s="774"/>
      <c r="K65" s="774"/>
      <c r="L65" s="774"/>
      <c r="M65" s="774"/>
      <c r="N65" s="774"/>
      <c r="O65" s="774"/>
      <c r="P65" s="774"/>
      <c r="Q65" s="774"/>
      <c r="R65" s="774"/>
      <c r="S65" s="774"/>
      <c r="T65" s="774"/>
      <c r="U65" s="774"/>
      <c r="V65" s="774"/>
    </row>
    <row r="66" spans="2:22" ht="30">
      <c r="B66" s="783"/>
      <c r="C66" s="136" t="s">
        <v>579</v>
      </c>
      <c r="D66" s="136"/>
      <c r="E66" s="784" t="s">
        <v>580</v>
      </c>
      <c r="F66" s="785">
        <f>'A6d. Operations-Site 4'!E65+'A6d. Operations-Site 4'!E68+'A6d. Operations-Site 4'!E81+'A6d. Operations-Site 4'!E88+'A6d. Operations-Site 4'!E94</f>
        <v>0</v>
      </c>
      <c r="G66" s="165"/>
      <c r="H66" s="165"/>
      <c r="I66" s="747" t="str">
        <f t="shared" si="3"/>
        <v/>
      </c>
      <c r="J66" s="774"/>
      <c r="K66" s="774"/>
      <c r="L66" s="774"/>
      <c r="M66" s="774"/>
      <c r="N66" s="774"/>
      <c r="O66" s="774"/>
      <c r="P66" s="774"/>
      <c r="Q66" s="774"/>
      <c r="R66" s="774"/>
      <c r="S66" s="774"/>
      <c r="T66" s="774"/>
      <c r="U66" s="774"/>
      <c r="V66" s="774"/>
    </row>
    <row r="67" spans="2:22" ht="15">
      <c r="B67" s="783"/>
      <c r="C67" s="136" t="s">
        <v>581</v>
      </c>
      <c r="D67" s="136"/>
      <c r="E67" s="784" t="s">
        <v>582</v>
      </c>
      <c r="F67" s="785">
        <f>'A6d. Operations-Site 4'!E77+'A6d. Operations-Site 4'!E78</f>
        <v>0</v>
      </c>
      <c r="G67" s="165"/>
      <c r="H67" s="165"/>
      <c r="I67" s="747" t="str">
        <f t="shared" si="3"/>
        <v/>
      </c>
      <c r="J67" s="774"/>
      <c r="K67" s="774"/>
      <c r="L67" s="774"/>
      <c r="M67" s="774"/>
      <c r="N67" s="774"/>
      <c r="O67" s="774"/>
      <c r="P67" s="774"/>
      <c r="Q67" s="774"/>
      <c r="R67" s="774"/>
      <c r="S67" s="774"/>
      <c r="T67" s="774"/>
      <c r="U67" s="774"/>
      <c r="V67" s="774"/>
    </row>
    <row r="68" spans="2:22" ht="15">
      <c r="B68" s="783"/>
      <c r="C68" s="136" t="s">
        <v>583</v>
      </c>
      <c r="D68" s="136"/>
      <c r="E68" s="784" t="s">
        <v>584</v>
      </c>
      <c r="F68" s="785">
        <f>'A6d. Operations-Site 4'!E66+'A6d. Operations-Site 4'!E105</f>
        <v>0</v>
      </c>
      <c r="G68" s="165"/>
      <c r="H68" s="165"/>
      <c r="I68" s="747" t="str">
        <f>+IFERROR(F68/$F$73,"")</f>
        <v/>
      </c>
      <c r="J68" s="774"/>
      <c r="K68" s="774"/>
      <c r="L68" s="774"/>
      <c r="M68" s="774"/>
      <c r="N68" s="774"/>
      <c r="O68" s="774"/>
      <c r="P68" s="774"/>
      <c r="Q68" s="774"/>
      <c r="R68" s="774"/>
      <c r="S68" s="774"/>
      <c r="T68" s="774"/>
      <c r="U68" s="774"/>
      <c r="V68" s="774"/>
    </row>
    <row r="69" spans="2:22" ht="15">
      <c r="B69" s="783"/>
      <c r="C69" s="136" t="s">
        <v>585</v>
      </c>
      <c r="D69" s="136"/>
      <c r="E69" s="784" t="s">
        <v>586</v>
      </c>
      <c r="F69" s="785">
        <f>'A6d. Operations-Site 4'!E89+'A6d. Operations-Site 4'!E90</f>
        <v>0</v>
      </c>
      <c r="G69" s="165"/>
      <c r="H69" s="165"/>
      <c r="I69" s="747" t="str">
        <f t="shared" si="3"/>
        <v/>
      </c>
      <c r="J69" s="774"/>
      <c r="K69" s="774"/>
      <c r="L69" s="774"/>
      <c r="M69" s="774"/>
      <c r="N69" s="774"/>
      <c r="O69" s="774"/>
      <c r="P69" s="774"/>
      <c r="Q69" s="774"/>
      <c r="R69" s="774"/>
      <c r="S69" s="774"/>
      <c r="T69" s="774"/>
      <c r="U69" s="774"/>
      <c r="V69" s="774"/>
    </row>
    <row r="70" spans="2:22" ht="15" hidden="1">
      <c r="B70" s="783"/>
      <c r="C70" s="136" t="s">
        <v>587</v>
      </c>
      <c r="D70" s="136"/>
      <c r="E70" s="784" t="s">
        <v>588</v>
      </c>
      <c r="F70" s="785"/>
      <c r="G70" s="165"/>
      <c r="H70" s="165"/>
      <c r="I70" s="747" t="str">
        <f t="shared" si="3"/>
        <v/>
      </c>
      <c r="J70" s="774"/>
      <c r="K70" s="774"/>
      <c r="L70" s="774"/>
      <c r="M70" s="774"/>
      <c r="N70" s="774"/>
      <c r="O70" s="774"/>
      <c r="P70" s="774"/>
      <c r="Q70" s="774"/>
      <c r="R70" s="774"/>
      <c r="S70" s="774"/>
      <c r="T70" s="774"/>
      <c r="U70" s="774"/>
      <c r="V70" s="774"/>
    </row>
    <row r="71" spans="2:22" ht="15">
      <c r="B71" s="783"/>
      <c r="C71" s="136" t="s">
        <v>589</v>
      </c>
      <c r="D71" s="136"/>
      <c r="E71" s="784" t="s">
        <v>590</v>
      </c>
      <c r="F71" s="785">
        <f>'A6d. Operations-Site 4'!E84+'A6d. Operations-Site 4'!E85+'A6d. Operations-Site 4'!E86+'A6d. Operations-Site 4'!E87+'A6d. Operations-Site 4'!E91+'A6d. Operations-Site 4'!E92+'A6d. Operations-Site 4'!E93+'A6d. Operations-Site 4'!E95+'A6d. Operations-Site 4'!E96+'A6d. Operations-Site 4'!E98+'A6d. Operations-Site 4'!E99+'A6d. Operations-Site 4'!E100+'A6d. Operations-Site 4'!E101+'A6d. Operations-Site 4'!E107+'A6d. Operations-Site 4'!E108</f>
        <v>0</v>
      </c>
      <c r="G71" s="165"/>
      <c r="H71" s="165"/>
      <c r="I71" s="747" t="str">
        <f>+IFERROR(F71/$F$73,"")</f>
        <v/>
      </c>
      <c r="J71" s="774"/>
      <c r="K71" s="774"/>
      <c r="L71" s="774"/>
      <c r="M71" s="774"/>
      <c r="N71" s="774"/>
      <c r="O71" s="774"/>
      <c r="P71" s="774"/>
      <c r="Q71" s="774"/>
      <c r="R71" s="774"/>
      <c r="S71" s="774"/>
      <c r="T71" s="774"/>
      <c r="U71" s="774"/>
      <c r="V71" s="774"/>
    </row>
    <row r="72" spans="2:22" ht="15.5">
      <c r="B72" s="157"/>
      <c r="C72" s="776"/>
      <c r="D72" s="776"/>
      <c r="E72" s="776"/>
      <c r="F72" s="780"/>
      <c r="G72" s="780"/>
      <c r="H72" s="780"/>
      <c r="I72" s="787"/>
      <c r="J72" s="774"/>
      <c r="K72" s="774"/>
      <c r="L72" s="774"/>
      <c r="M72" s="774"/>
      <c r="N72" s="774"/>
      <c r="O72" s="774"/>
      <c r="P72" s="774"/>
      <c r="Q72" s="774"/>
      <c r="R72" s="774"/>
      <c r="S72" s="774"/>
      <c r="T72" s="774"/>
      <c r="U72" s="774"/>
      <c r="V72" s="774"/>
    </row>
    <row r="73" spans="2:22" ht="30.5">
      <c r="B73" s="157"/>
      <c r="C73" s="788" t="s">
        <v>591</v>
      </c>
      <c r="D73" s="788"/>
      <c r="E73" s="788"/>
      <c r="F73" s="166">
        <f>+SUM(F40:F44,F48:F52,F56:F60,F63:F71)</f>
        <v>0</v>
      </c>
      <c r="G73" s="166"/>
      <c r="H73" s="166"/>
      <c r="I73" s="750">
        <f>+SUM(I40:I72)</f>
        <v>0</v>
      </c>
      <c r="J73" s="774"/>
      <c r="K73" s="774"/>
      <c r="L73" s="774"/>
      <c r="M73" s="774"/>
      <c r="N73" s="774"/>
      <c r="O73" s="774"/>
      <c r="P73" s="774"/>
      <c r="Q73" s="774"/>
      <c r="R73" s="774"/>
      <c r="S73" s="774"/>
      <c r="T73" s="774"/>
      <c r="U73" s="774"/>
      <c r="V73" s="774"/>
    </row>
    <row r="74" spans="2:22" ht="15.5">
      <c r="B74" s="157"/>
      <c r="C74" s="788"/>
      <c r="D74" s="788"/>
      <c r="E74" s="788"/>
      <c r="F74" s="166"/>
      <c r="G74" s="166"/>
      <c r="H74" s="166"/>
      <c r="I74" s="434"/>
      <c r="J74" s="774"/>
      <c r="K74" s="774"/>
      <c r="L74" s="774"/>
      <c r="M74" s="774"/>
      <c r="N74" s="774"/>
      <c r="O74" s="774"/>
      <c r="P74" s="774"/>
      <c r="Q74" s="774"/>
      <c r="R74" s="774"/>
      <c r="S74" s="774"/>
      <c r="T74" s="774"/>
      <c r="U74" s="774"/>
      <c r="V74" s="774"/>
    </row>
    <row r="75" spans="2:22" ht="15.5">
      <c r="B75" s="160"/>
      <c r="C75" s="776" t="s">
        <v>592</v>
      </c>
      <c r="D75" s="776"/>
      <c r="E75" s="789" t="s">
        <v>593</v>
      </c>
      <c r="F75" s="771">
        <f>'A3. Peel Region Grants'!G81+'A3. Peel Region Grants'!G122</f>
        <v>0</v>
      </c>
      <c r="G75" s="153"/>
      <c r="H75" s="153"/>
      <c r="I75" s="211"/>
      <c r="J75" s="774"/>
      <c r="K75" s="774"/>
      <c r="L75" s="774"/>
      <c r="M75" s="774"/>
      <c r="N75" s="774"/>
      <c r="O75" s="774"/>
      <c r="P75" s="774"/>
      <c r="Q75" s="774"/>
      <c r="R75" s="774"/>
      <c r="S75" s="774"/>
      <c r="T75" s="774"/>
      <c r="U75" s="774"/>
      <c r="V75" s="774"/>
    </row>
    <row r="76" spans="2:22" ht="15.5">
      <c r="B76" s="1"/>
      <c r="C76" s="133"/>
      <c r="D76" s="133"/>
      <c r="E76" s="133"/>
      <c r="F76" s="1"/>
      <c r="G76" s="1"/>
      <c r="H76" s="1"/>
      <c r="I76" s="595"/>
      <c r="J76" s="774"/>
      <c r="K76" s="774"/>
      <c r="L76" s="774"/>
      <c r="M76" s="774"/>
      <c r="N76" s="774"/>
      <c r="O76" s="774"/>
      <c r="P76" s="774"/>
      <c r="Q76" s="774"/>
      <c r="R76" s="774"/>
      <c r="S76" s="774"/>
      <c r="T76" s="774"/>
      <c r="U76" s="774"/>
      <c r="V76" s="774"/>
    </row>
    <row r="77" spans="2:22" ht="30.5">
      <c r="B77" s="1"/>
      <c r="C77" s="788" t="s">
        <v>594</v>
      </c>
      <c r="D77" s="788"/>
      <c r="E77" s="788"/>
      <c r="F77" s="166">
        <f>+F73+F75</f>
        <v>0</v>
      </c>
      <c r="G77" s="166"/>
      <c r="H77" s="166"/>
      <c r="I77" s="434"/>
      <c r="J77" s="774"/>
      <c r="K77" s="774"/>
      <c r="L77" s="774"/>
      <c r="M77" s="774"/>
      <c r="N77" s="774"/>
      <c r="O77" s="774"/>
      <c r="P77" s="774"/>
      <c r="Q77" s="774"/>
      <c r="R77" s="774"/>
      <c r="S77" s="774"/>
      <c r="T77" s="774"/>
      <c r="U77" s="774"/>
      <c r="V77" s="774"/>
    </row>
    <row r="78" spans="2:22" ht="15.5">
      <c r="B78" s="1"/>
      <c r="C78" s="133"/>
      <c r="D78" s="133"/>
      <c r="E78" s="133"/>
      <c r="F78" s="130"/>
      <c r="G78" s="131"/>
      <c r="H78" s="131"/>
      <c r="I78" s="595"/>
      <c r="J78" s="774"/>
      <c r="K78" s="774"/>
      <c r="L78" s="774"/>
      <c r="M78" s="774"/>
      <c r="N78" s="774"/>
      <c r="O78" s="774"/>
      <c r="P78" s="774"/>
      <c r="Q78" s="774"/>
      <c r="R78" s="774"/>
      <c r="S78" s="774"/>
      <c r="T78" s="774"/>
      <c r="U78" s="774"/>
      <c r="V78" s="774"/>
    </row>
    <row r="79" spans="2:22" ht="30.5">
      <c r="B79" s="1"/>
      <c r="C79" s="790" t="str">
        <f>"Of the "&amp;TEXT(F77,"$#,###.00")&amp;", how much was specifically spent to support the inclusion of eligible children with special needs?"</f>
        <v>Of the $.00, how much was specifically spent to support the inclusion of eligible children with special needs?</v>
      </c>
      <c r="D79" s="788"/>
      <c r="E79" s="789" t="s">
        <v>595</v>
      </c>
      <c r="F79" s="771">
        <f>'A4. KPIs'!H54</f>
        <v>0</v>
      </c>
      <c r="G79" s="166"/>
      <c r="H79" s="166"/>
      <c r="I79" s="434"/>
      <c r="J79" s="774"/>
      <c r="K79" s="774"/>
      <c r="L79" s="774"/>
      <c r="M79" s="774"/>
      <c r="N79" s="774"/>
      <c r="O79" s="774"/>
      <c r="P79" s="774"/>
      <c r="Q79" s="774"/>
      <c r="R79" s="774"/>
      <c r="S79" s="774"/>
      <c r="T79" s="774"/>
      <c r="U79" s="774"/>
      <c r="V79" s="774"/>
    </row>
    <row r="80" spans="2:22" ht="15.5">
      <c r="B80" s="1"/>
      <c r="C80" s="133"/>
      <c r="D80" s="133"/>
      <c r="E80" s="133"/>
      <c r="F80" s="1"/>
      <c r="G80" s="1"/>
      <c r="H80" s="1"/>
      <c r="I80" s="595"/>
      <c r="J80" s="774"/>
      <c r="K80" s="774"/>
      <c r="L80" s="774"/>
      <c r="M80" s="774"/>
      <c r="N80" s="774"/>
      <c r="O80" s="774"/>
      <c r="P80" s="774"/>
      <c r="Q80" s="774"/>
      <c r="R80" s="774"/>
      <c r="S80" s="774"/>
      <c r="T80" s="774"/>
      <c r="U80" s="774"/>
      <c r="V80" s="774"/>
    </row>
    <row r="81" spans="2:22" ht="15.5">
      <c r="B81" s="148"/>
      <c r="C81" s="776" t="s">
        <v>596</v>
      </c>
      <c r="D81" s="776"/>
      <c r="E81" s="791"/>
      <c r="F81" s="1" t="s">
        <v>597</v>
      </c>
      <c r="G81" s="148"/>
      <c r="H81" s="148"/>
      <c r="I81" s="1" t="s">
        <v>598</v>
      </c>
      <c r="J81" s="774"/>
      <c r="K81" s="774"/>
      <c r="L81" s="774"/>
      <c r="M81" s="774"/>
      <c r="N81" s="774"/>
      <c r="O81" s="774"/>
      <c r="P81" s="774"/>
      <c r="Q81" s="774"/>
      <c r="R81" s="774"/>
      <c r="S81" s="774"/>
      <c r="T81" s="774"/>
      <c r="U81" s="774"/>
      <c r="V81" s="774"/>
    </row>
    <row r="82" spans="2:22" ht="15">
      <c r="B82" s="167" t="s">
        <v>599</v>
      </c>
      <c r="C82" s="792">
        <f>'A1. Identification'!D14</f>
        <v>0</v>
      </c>
      <c r="D82" s="168"/>
      <c r="E82" s="167" t="s">
        <v>600</v>
      </c>
      <c r="F82" s="793">
        <f>'A1. Identification'!D15</f>
        <v>0</v>
      </c>
      <c r="G82" s="169"/>
      <c r="H82" s="167" t="s">
        <v>601</v>
      </c>
      <c r="I82" s="794">
        <f>'A1. Identification'!D16</f>
        <v>0</v>
      </c>
    </row>
    <row r="85" spans="2:22" ht="17.5">
      <c r="B85" s="769" t="s">
        <v>602</v>
      </c>
      <c r="C85" s="133"/>
      <c r="D85" s="133"/>
      <c r="E85" s="133"/>
      <c r="F85" s="149"/>
      <c r="G85" s="170"/>
      <c r="H85" s="170"/>
      <c r="I85" s="773"/>
    </row>
    <row r="86" spans="2:22" ht="17.5">
      <c r="B86" s="769"/>
      <c r="C86" s="133"/>
      <c r="D86" s="133"/>
      <c r="E86" s="133"/>
      <c r="F86" s="149"/>
      <c r="G86" s="170"/>
      <c r="H86" s="170"/>
      <c r="I86" s="773"/>
    </row>
    <row r="87" spans="2:22" ht="17.5">
      <c r="B87" s="769"/>
      <c r="C87" s="1" t="s">
        <v>603</v>
      </c>
      <c r="D87" s="148"/>
      <c r="E87" s="133"/>
      <c r="F87" s="130"/>
      <c r="G87" s="170"/>
      <c r="H87" s="170"/>
      <c r="I87" s="773"/>
    </row>
    <row r="88" spans="2:22" ht="15.5">
      <c r="B88" s="167" t="s">
        <v>604</v>
      </c>
      <c r="C88" s="795">
        <f>'A1. Identification'!D17</f>
        <v>0</v>
      </c>
      <c r="D88" s="171"/>
      <c r="E88" s="133"/>
      <c r="F88" s="149"/>
      <c r="G88" s="170"/>
      <c r="H88" s="170"/>
      <c r="I88" s="773"/>
    </row>
    <row r="89" spans="2:22" ht="17.5">
      <c r="B89" s="769"/>
      <c r="C89" s="172" t="str">
        <f>IF(AND(C88="",F10=""),"WARNING: Signing Officer and License Number are needed to complete attestation.","")</f>
        <v/>
      </c>
      <c r="D89" s="171"/>
      <c r="E89" s="133"/>
      <c r="F89" s="150"/>
      <c r="G89" s="170"/>
      <c r="H89" s="170"/>
      <c r="I89" s="773"/>
    </row>
    <row r="90" spans="2:22" ht="15.5">
      <c r="B90" s="1"/>
      <c r="C90" s="796" t="str">
        <f>IF(C88="","[The attestation text will appear once box 4C is completed]","Attestation")</f>
        <v>Attestation</v>
      </c>
      <c r="D90" s="173"/>
      <c r="E90" s="133"/>
      <c r="F90" s="149"/>
      <c r="G90" s="149"/>
      <c r="H90" s="149"/>
      <c r="I90" s="773"/>
    </row>
    <row r="91" spans="2:22" ht="15.5">
      <c r="B91" s="1"/>
      <c r="C91" s="174" t="str">
        <f>IF(C88="","","I, "&amp;C88&amp;", confirm that:")</f>
        <v>I, 0, confirm that:</v>
      </c>
      <c r="D91" s="173"/>
      <c r="E91" s="133"/>
      <c r="F91" s="1"/>
      <c r="G91" s="149"/>
      <c r="H91" s="149"/>
      <c r="I91" s="773"/>
    </row>
    <row r="92" spans="2:22" ht="15.5">
      <c r="B92" s="1"/>
      <c r="C92" s="175" t="str">
        <f>IF(C88="",""," I have signing authority with respect to licence # "&amp;F8&amp;".")</f>
        <v xml:space="preserve"> I have signing authority with respect to licence # 0.</v>
      </c>
      <c r="D92" s="173"/>
      <c r="E92" s="133"/>
      <c r="F92" s="149"/>
      <c r="G92" s="149"/>
      <c r="H92" s="149"/>
      <c r="I92" s="773"/>
    </row>
    <row r="93" spans="2:22" ht="55.5" customHeight="1">
      <c r="B93" s="1"/>
      <c r="C93" s="175" t="str">
        <f>IF(C88="","","The information contained in this Standardized Financial Report for the reporting year "&amp;F14&amp;" is accurate and a true reflection of the eligible costs incurred by the licensee for which cost-based funding was used.")</f>
        <v>The information contained in this Standardized Financial Report for the reporting year 2025 is accurate and a true reflection of the eligible costs incurred by the licensee for which cost-based funding was used.</v>
      </c>
      <c r="D93" s="173"/>
      <c r="E93" s="133"/>
      <c r="F93" s="149"/>
      <c r="G93" s="149"/>
      <c r="H93" s="149"/>
      <c r="I93" s="773"/>
    </row>
    <row r="94" spans="2:22" ht="46.5" customHeight="1">
      <c r="B94" s="1"/>
      <c r="C94" s="175" t="str">
        <f>IF(C88="","","Cost-based allocation funding was used by the licensee to cover eligible costs only in accordance with the parameters established by "&amp;F9&amp;". ")</f>
        <v xml:space="preserve">Cost-based allocation funding was used by the licensee to cover eligible costs only in accordance with the parameters established by 0. </v>
      </c>
      <c r="D94" s="173"/>
      <c r="E94" s="133"/>
      <c r="F94" s="149"/>
      <c r="G94" s="149"/>
      <c r="H94" s="149"/>
      <c r="I94" s="773"/>
    </row>
    <row r="95" spans="2:22" ht="20">
      <c r="B95" s="1"/>
      <c r="C95" s="797" t="s">
        <v>605</v>
      </c>
      <c r="D95" s="797"/>
      <c r="E95" s="797"/>
      <c r="F95" s="2" t="s">
        <v>606</v>
      </c>
      <c r="G95" s="148"/>
      <c r="H95" s="148"/>
      <c r="I95" s="1"/>
    </row>
    <row r="96" spans="2:22" ht="20">
      <c r="B96" s="1"/>
      <c r="C96" s="870">
        <f>'A1. Identification'!D26</f>
        <v>0</v>
      </c>
      <c r="D96" s="176"/>
      <c r="E96" s="167" t="s">
        <v>607</v>
      </c>
      <c r="F96" s="798">
        <f>'A1. Identification'!D28</f>
        <v>0</v>
      </c>
      <c r="G96" s="171"/>
      <c r="H96" s="171"/>
      <c r="I96" s="1"/>
    </row>
    <row r="97" spans="2:9" ht="30.5">
      <c r="B97" s="1"/>
      <c r="C97" s="133" t="s">
        <v>608</v>
      </c>
      <c r="D97" s="133"/>
      <c r="E97" s="133"/>
      <c r="F97" s="177"/>
      <c r="G97" s="178"/>
      <c r="H97" s="156"/>
      <c r="I97" s="1"/>
    </row>
  </sheetData>
  <sheetProtection algorithmName="SHA-512" hashValue="jOp0KFbCJnQGFHhiZsqJP46perWrdYSvosxGIWGaD0gZOl9/FeZI4A7rfyaubDAjclnI6QYmKrDqgtBeF8sHGw==" saltValue="r+NcPsTlSCYsz0joP/R14g==" spinCount="100000" sheet="1" objects="1" scenarios="1"/>
  <mergeCells count="1">
    <mergeCell ref="A1:I1"/>
  </mergeCells>
  <conditionalFormatting sqref="C91:C94">
    <cfRule type="cellIs" dxfId="58" priority="3" operator="notEqual">
      <formula>""</formula>
    </cfRule>
  </conditionalFormatting>
  <conditionalFormatting sqref="C88:D88 D89:D94">
    <cfRule type="cellIs" dxfId="57" priority="4" operator="notEqual">
      <formula>""</formula>
    </cfRule>
  </conditionalFormatting>
  <conditionalFormatting sqref="C96:D96">
    <cfRule type="notContainsBlanks" dxfId="56" priority="6">
      <formula>LEN(TRIM(C96))&gt;0</formula>
    </cfRule>
  </conditionalFormatting>
  <conditionalFormatting sqref="F21:F26">
    <cfRule type="cellIs" dxfId="55" priority="2" operator="notEqual">
      <formula>""</formula>
    </cfRule>
  </conditionalFormatting>
  <conditionalFormatting sqref="F79">
    <cfRule type="cellIs" dxfId="54" priority="7" operator="notEqual">
      <formula>""</formula>
    </cfRule>
  </conditionalFormatting>
  <conditionalFormatting sqref="F8:H14 H27">
    <cfRule type="cellIs" dxfId="53" priority="11" operator="notEqual">
      <formula>""</formula>
    </cfRule>
  </conditionalFormatting>
  <conditionalFormatting sqref="F18:H18">
    <cfRule type="cellIs" dxfId="52" priority="12" operator="notEqual">
      <formula>""</formula>
    </cfRule>
  </conditionalFormatting>
  <conditionalFormatting sqref="F32:H33 F40:H45 F48:H53 F56:H60 F63:H71 C82:D82 F82:G82 I82">
    <cfRule type="cellIs" dxfId="51" priority="8" operator="notEqual">
      <formula>""</formula>
    </cfRule>
  </conditionalFormatting>
  <conditionalFormatting sqref="F75:H75">
    <cfRule type="cellIs" dxfId="50" priority="1" operator="notEqual">
      <formula>""</formula>
    </cfRule>
  </conditionalFormatting>
  <conditionalFormatting sqref="F96:H96">
    <cfRule type="cellIs" dxfId="49" priority="5" operator="notEqual">
      <formula>""</formula>
    </cfRule>
  </conditionalFormatting>
  <conditionalFormatting sqref="I21:I26">
    <cfRule type="cellIs" dxfId="48" priority="10" operator="notEqual">
      <formula>""</formula>
    </cfRule>
  </conditionalFormatting>
  <conditionalFormatting sqref="I38:I39">
    <cfRule type="top10" dxfId="47" priority="9" percent="1" rank="10"/>
  </conditionalFormatting>
  <dataValidations count="21">
    <dataValidation type="date" allowBlank="1" showInputMessage="1" showErrorMessage="1" error="Date must be between April 1st, 2022 and December 31, 2025" prompt="(yyyy-mm-dd)" sqref="F11" xr:uid="{3B8C2DA2-FCF6-4771-BE1E-568B25D13A2A}">
      <formula1>44652</formula1>
      <formula2>46022</formula2>
    </dataValidation>
    <dataValidation type="list" allowBlank="1" showInputMessage="1" showErrorMessage="1" error="Please select from drop-down list" sqref="F12" xr:uid="{E591A2A7-46CC-4677-B152-AB85724636BE}">
      <formula1>SSMs</formula1>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8" xr:uid="{3118FF25-5E8F-4170-ADA4-C6BE5F651C2A}">
      <formula1>0</formula1>
      <formula2>365</formula2>
    </dataValidation>
    <dataValidation type="date" allowBlank="1" showInputMessage="1" showErrorMessage="1" error="Date must between April 1st, 2022 and December 31, 2025" prompt="(yyyy-mm-dd)" sqref="G11:G12" xr:uid="{1AC3917B-DCC1-4486-9D42-F2E423B49737}">
      <formula1>44652</formula1>
      <formula2>46022</formula2>
    </dataValidation>
    <dataValidation type="whole" allowBlank="1" showInputMessage="1" showErrorMessage="1" error="Must be greater than zero and less than  365" sqref="G18:H18" xr:uid="{5DD5A186-19FF-42C5-BA25-5C2B2FDCBBC4}">
      <formula1>0</formula1>
      <formula2>365</formula2>
    </dataValidation>
    <dataValidation allowBlank="1" showInputMessage="1" showErrorMessage="1" prompt="For example, 10 infant licensed spaces for 200 service days and 5 infant licensed spaces for 100 service days would be (10X20)+(5X100) = 2,500 infant licensed space-days" sqref="I20" xr:uid="{31231AB3-3B6E-4BEA-93D8-E57CD5E27A35}"/>
    <dataValidation allowBlank="1" showInputMessage="1" showErrorMessage="1" prompt="For example, 10 infant operating spaces for 200 service days and 5 infant operating spaces for 100 service days would be (10X20)+(5X100) = 2,500 infant operating space-days" sqref="F20" xr:uid="{D81C971B-BB69-4A2C-A9E5-DDA1884A318A}"/>
    <dataValidation type="whole" operator="greaterThanOrEqual" allowBlank="1" showInputMessage="1" showErrorMessage="1" error="Must be a number greater than or equal to 0" sqref="I21:I26 F21:F26" xr:uid="{CEA9C442-6C28-49BD-BCA0-95AD4B8808C3}">
      <formula1>0</formula1>
    </dataValidation>
    <dataValidation type="whole" operator="greaterThanOrEqual" allowBlank="1" showInputMessage="1" showErrorMessage="1" error="Must be whole number, equal or larger than 0" sqref="F27 H27:I27" xr:uid="{3901A479-66C0-49C4-AF25-BDD69A960B92}">
      <formula1>0</formula1>
    </dataValidation>
    <dataValidation type="decimal" allowBlank="1" showInputMessage="1" showErrorMessage="1" error="Must be a number between 0 and the sum of all eligible costs incurred for the eligible centre, AFTER one-time, unexpected costs" prompt="A “child with special needs” means a child whose cognitive, physical, social, emotional or communicative needs, or whose needs relating to overall development, are of such a nature that additional supports are required for the child." sqref="F79" xr:uid="{4499FEFE-20A0-4760-A408-D723EC876808}">
      <formula1>0</formula1>
      <formula2>F77</formula2>
    </dataValidation>
    <dataValidation type="custom" allowBlank="1" showInputMessage="1" showErrorMessage="1" error="Please enter valid email address" sqref="I82" xr:uid="{37D0A7BC-8B14-4388-8BBE-3564B6F49631}">
      <formula1>AND(ISNUMBER(FIND("@",I82)), ISNUMBER(FIND(".",I82)), FIND(".",I82) &gt; FIND("@",I82))</formula1>
    </dataValidation>
    <dataValidation type="decimal" operator="greaterThanOrEqual" allowBlank="1" showInputMessage="1" showErrorMessage="1" error="Must be an amount greater than or equal to 0." sqref="F33" xr:uid="{1F213DA3-4C7E-4D66-823F-CC25DC44FF78}">
      <formula1>0</formula1>
    </dataValidation>
    <dataValidation type="decimal" operator="greaterThan" allowBlank="1" showInputMessage="1" showErrorMessage="1" error="Must be an amount greater than 0." sqref="F32" xr:uid="{BD4A4CFE-68B1-4D74-84EE-4A92F6EDDF80}">
      <formula1>0</formula1>
    </dataValidation>
    <dataValidation type="textLength" operator="lessThanOrEqual" allowBlank="1" showInputMessage="1" showErrorMessage="1" error="Must be 50 letters or less" sqref="C82 C88" xr:uid="{51117429-AF48-48B4-893C-B13920E197B2}">
      <formula1>50</formula1>
    </dataValidation>
    <dataValidation type="decimal" operator="greaterThan" allowBlank="1" showInputMessage="1" showErrorMessage="1" error="Must be an amount greater than or equal to zero." sqref="F48:F53 F63:F71 F40:F45 F56:F60" xr:uid="{AE4A6251-8649-4305-B7E6-8653C1131E47}">
      <formula1>0</formula1>
    </dataValidation>
    <dataValidation type="textLength" operator="equal" allowBlank="1" showInputMessage="1" showErrorMessage="1" error="Please enter 10 digit phone number" prompt="Please enter 10 digit phone number" sqref="F82" xr:uid="{FCE21B91-7BB3-472C-BB22-B6CFABA2690D}">
      <formula1>10</formula1>
    </dataValidation>
    <dataValidation type="decimal" operator="greaterThanOrEqual" allowBlank="1" showInputMessage="1" showErrorMessage="1" sqref="G40:H44" xr:uid="{4E4DA1EC-081E-4828-B59A-B60566048368}">
      <formula1>0</formula1>
    </dataValidation>
    <dataValidation allowBlank="1" showInputMessage="1" showErrorMessage="1" prompt="Please enter phone number as (###) ### - ###" sqref="G82" xr:uid="{C503827D-FDAC-499D-ACC5-82573AB9C4BA}"/>
    <dataValidation type="whole" operator="greaterThanOrEqual" allowBlank="1" showInputMessage="1" showErrorMessage="1" sqref="G48:H52 G63:H71 G33:H33 F75:H75" xr:uid="{CDB8D09B-6A53-4039-8667-2DC40276A70E}">
      <formula1>0</formula1>
    </dataValidation>
    <dataValidation type="whole" operator="greaterThan" allowBlank="1" showInputMessage="1" showErrorMessage="1" sqref="G32:H32" xr:uid="{79E6F443-705C-4C17-A1F3-C991938F84BB}">
      <formula1>0</formula1>
    </dataValidation>
    <dataValidation type="date" operator="greaterThanOrEqual" allowBlank="1" showInputMessage="1" showErrorMessage="1" error="Must be a date not earlier than today's date" sqref="F96" xr:uid="{79FED70D-B982-4C13-B31F-3142AE99B42B}">
      <formula1>TODAY()</formula1>
    </dataValidation>
  </dataValidations>
  <hyperlinks>
    <hyperlink ref="I82" r:id="rId1" display="navdip_atwal@hotmail.com" xr:uid="{C2B15D55-85A4-4EFF-94EA-9B156090657B}"/>
  </hyperlinks>
  <pageMargins left="0.7" right="0.7" top="0.75" bottom="0.75" header="0.3" footer="0.3"/>
  <pageSetup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BBAA5-AB00-43BA-93BF-82BA4C32C4A6}">
  <sheetPr>
    <tabColor rgb="FFFFC000"/>
  </sheetPr>
  <dimension ref="A1:M114"/>
  <sheetViews>
    <sheetView showGridLines="0" workbookViewId="0">
      <selection activeCell="F73" sqref="F73"/>
    </sheetView>
  </sheetViews>
  <sheetFormatPr defaultColWidth="0" defaultRowHeight="15" zeroHeight="1"/>
  <cols>
    <col min="1" max="1" width="3.1796875" style="1" customWidth="1"/>
    <col min="2" max="2" width="8.453125" style="1" customWidth="1"/>
    <col min="3" max="3" width="106.54296875" style="1" customWidth="1"/>
    <col min="4" max="4" width="8.453125" style="198" bestFit="1" customWidth="1"/>
    <col min="5" max="5" width="32" style="183" customWidth="1"/>
    <col min="6" max="6" width="27.453125" style="184" customWidth="1"/>
    <col min="7" max="7" width="43.1796875" style="1" hidden="1" customWidth="1"/>
    <col min="8" max="8" width="21.7265625" style="205" hidden="1" customWidth="1"/>
    <col min="9" max="9" width="7.1796875" style="1" hidden="1" customWidth="1"/>
    <col min="10" max="16384" width="9.1796875" style="1" hidden="1"/>
  </cols>
  <sheetData>
    <row r="1" spans="1:13" ht="26">
      <c r="A1" s="1211" t="s">
        <v>734</v>
      </c>
      <c r="B1" s="1210"/>
      <c r="C1" s="1210"/>
      <c r="D1" s="1210"/>
      <c r="E1" s="1210"/>
      <c r="F1" s="1210"/>
      <c r="G1" s="1210"/>
      <c r="H1" s="1210"/>
      <c r="I1" s="1210"/>
    </row>
    <row r="2" spans="1:13"/>
    <row r="3" spans="1:13" s="180" customFormat="1" ht="34.5" customHeight="1">
      <c r="A3" s="122" t="s">
        <v>487</v>
      </c>
      <c r="B3" s="123"/>
      <c r="C3" s="124"/>
      <c r="D3" s="179"/>
      <c r="E3" s="125"/>
      <c r="F3" s="126"/>
    </row>
    <row r="4" spans="1:13" ht="20">
      <c r="A4" s="181"/>
      <c r="B4" s="127"/>
      <c r="C4" s="127"/>
      <c r="D4" s="182"/>
      <c r="H4" s="1"/>
    </row>
    <row r="5" spans="1:13">
      <c r="A5" s="127"/>
      <c r="B5" s="127"/>
      <c r="C5" s="127"/>
      <c r="D5" s="182"/>
      <c r="H5" s="185"/>
    </row>
    <row r="6" spans="1:13" ht="17.5">
      <c r="B6" s="132" t="s">
        <v>488</v>
      </c>
      <c r="C6" s="133"/>
      <c r="D6" s="133"/>
      <c r="E6" s="133"/>
      <c r="F6" s="186"/>
      <c r="G6" s="186"/>
      <c r="H6" s="186"/>
      <c r="J6"/>
      <c r="K6" s="185"/>
      <c r="M6"/>
    </row>
    <row r="7" spans="1:13" ht="15.5">
      <c r="B7" s="187" t="s">
        <v>609</v>
      </c>
      <c r="C7" s="133"/>
      <c r="D7" s="133"/>
      <c r="E7" s="133"/>
      <c r="F7" s="186"/>
      <c r="G7" s="186"/>
      <c r="H7" s="186"/>
      <c r="J7"/>
      <c r="K7" s="185"/>
      <c r="L7" s="127"/>
      <c r="M7"/>
    </row>
    <row r="8" spans="1:13" s="134" customFormat="1">
      <c r="B8" s="135" t="s">
        <v>610</v>
      </c>
      <c r="C8" s="136"/>
      <c r="D8" s="136"/>
      <c r="E8" s="188" t="s">
        <v>726</v>
      </c>
      <c r="G8" s="189"/>
      <c r="H8" s="189"/>
      <c r="I8" s="1"/>
      <c r="L8" s="190"/>
    </row>
    <row r="9" spans="1:13" s="134" customFormat="1">
      <c r="B9" s="135" t="s">
        <v>301</v>
      </c>
      <c r="C9" s="136"/>
      <c r="D9" s="191" t="s">
        <v>491</v>
      </c>
      <c r="E9" s="882">
        <f>'A6d. Operations-Site 4'!F7</f>
        <v>0</v>
      </c>
      <c r="G9" s="193"/>
      <c r="H9" s="193"/>
      <c r="I9" s="1"/>
      <c r="K9" s="194"/>
      <c r="L9" s="190"/>
    </row>
    <row r="10" spans="1:13" s="134" customFormat="1">
      <c r="B10" s="135" t="s">
        <v>492</v>
      </c>
      <c r="D10" s="191" t="s">
        <v>493</v>
      </c>
      <c r="E10" s="192">
        <f>'A11.SFR&amp; Attestation Site 4'!F9</f>
        <v>0</v>
      </c>
      <c r="G10" s="193"/>
      <c r="H10" s="193"/>
      <c r="K10" s="194"/>
    </row>
    <row r="11" spans="1:13" s="134" customFormat="1">
      <c r="B11" s="135" t="s">
        <v>611</v>
      </c>
      <c r="C11" s="136"/>
      <c r="D11" s="191" t="s">
        <v>502</v>
      </c>
      <c r="E11" s="192">
        <v>2025</v>
      </c>
      <c r="G11" s="195"/>
      <c r="H11" s="195"/>
      <c r="I11" s="1"/>
      <c r="L11" s="190"/>
    </row>
    <row r="12" spans="1:13" ht="7.5" customHeight="1">
      <c r="C12" s="148"/>
      <c r="D12" s="182"/>
      <c r="E12" s="196"/>
      <c r="H12" s="185"/>
    </row>
    <row r="13" spans="1:13">
      <c r="A13" s="127"/>
      <c r="B13" s="197" t="s">
        <v>612</v>
      </c>
      <c r="F13" s="528"/>
      <c r="H13" s="185"/>
    </row>
    <row r="14" spans="1:13">
      <c r="A14" s="127"/>
      <c r="B14" s="187" t="s">
        <v>613</v>
      </c>
      <c r="F14" s="528"/>
      <c r="H14" s="185"/>
    </row>
    <row r="15" spans="1:13" ht="30">
      <c r="B15" s="199"/>
      <c r="C15" s="200" t="s">
        <v>614</v>
      </c>
      <c r="D15" s="201" t="s">
        <v>615</v>
      </c>
      <c r="E15" s="974">
        <f>'A2.Allocation &amp; Operating Plan'!H24</f>
        <v>0</v>
      </c>
      <c r="F15" s="988"/>
      <c r="H15" s="185"/>
    </row>
    <row r="16" spans="1:13">
      <c r="B16" s="203"/>
      <c r="C16" s="194" t="s">
        <v>616</v>
      </c>
      <c r="D16" s="201" t="s">
        <v>617</v>
      </c>
      <c r="E16" s="974">
        <f>'A3. Peel Region Grants'!G70+'A3. Peel Region Grants'!G111</f>
        <v>0</v>
      </c>
      <c r="F16" s="989"/>
      <c r="H16" s="185"/>
    </row>
    <row r="17" spans="1:9" ht="7.5" customHeight="1">
      <c r="C17" s="148"/>
      <c r="D17" s="182"/>
      <c r="E17" s="196"/>
      <c r="F17" s="528"/>
      <c r="H17" s="185"/>
    </row>
    <row r="18" spans="1:9">
      <c r="A18" s="127"/>
      <c r="B18" s="187" t="s">
        <v>618</v>
      </c>
      <c r="F18" s="528"/>
      <c r="H18" s="185"/>
    </row>
    <row r="19" spans="1:9">
      <c r="A19" s="127"/>
      <c r="B19" s="187" t="s">
        <v>619</v>
      </c>
      <c r="F19" s="528"/>
      <c r="H19" s="185"/>
    </row>
    <row r="20" spans="1:9">
      <c r="A20" s="127"/>
      <c r="B20" s="203"/>
      <c r="C20" s="135" t="s">
        <v>620</v>
      </c>
      <c r="D20" s="163" t="s">
        <v>621</v>
      </c>
      <c r="E20" s="975">
        <f>'A2.Allocation &amp; Operating Plan'!H13+'A2.Allocation &amp; Operating Plan'!H14+'A2.Allocation &amp; Operating Plan'!H15+'A2.Allocation &amp; Operating Plan'!H16+'A2.Allocation &amp; Operating Plan'!H17</f>
        <v>0</v>
      </c>
      <c r="F20" s="990"/>
    </row>
    <row r="21" spans="1:9">
      <c r="A21" s="127"/>
      <c r="B21" s="151"/>
      <c r="C21" s="206" t="s">
        <v>622</v>
      </c>
      <c r="D21" s="163" t="s">
        <v>623</v>
      </c>
      <c r="E21" s="975">
        <f>'A2.Allocation &amp; Operating Plan'!H18</f>
        <v>0</v>
      </c>
      <c r="F21" s="990"/>
      <c r="G21" s="207"/>
      <c r="H21" s="207"/>
      <c r="I21" s="207"/>
    </row>
    <row r="22" spans="1:9">
      <c r="A22" s="127"/>
      <c r="B22" s="151"/>
      <c r="C22" s="206" t="s">
        <v>624</v>
      </c>
      <c r="D22" s="163" t="s">
        <v>625</v>
      </c>
      <c r="E22" s="975">
        <f>'A2.Allocation &amp; Operating Plan'!H19</f>
        <v>0</v>
      </c>
      <c r="F22" s="990"/>
      <c r="G22" s="207"/>
      <c r="H22" s="207"/>
      <c r="I22" s="207"/>
    </row>
    <row r="23" spans="1:9">
      <c r="A23" s="127"/>
      <c r="B23" s="151"/>
      <c r="C23" s="208" t="s">
        <v>626</v>
      </c>
      <c r="D23" s="209"/>
      <c r="E23" s="210">
        <f>SUM(E20:E22)</f>
        <v>0</v>
      </c>
      <c r="F23" s="990"/>
      <c r="H23" s="1"/>
    </row>
    <row r="24" spans="1:9">
      <c r="B24" s="151"/>
      <c r="C24" s="206" t="s">
        <v>627</v>
      </c>
      <c r="D24" s="163" t="s">
        <v>628</v>
      </c>
      <c r="E24" s="975">
        <f>'A2.Allocation &amp; Operating Plan'!H23</f>
        <v>0</v>
      </c>
      <c r="F24" s="990"/>
      <c r="H24" s="185"/>
    </row>
    <row r="25" spans="1:9">
      <c r="B25" s="151"/>
      <c r="C25" s="206" t="s">
        <v>629</v>
      </c>
      <c r="D25" s="163" t="s">
        <v>630</v>
      </c>
      <c r="E25" s="975">
        <f>'A2.Allocation &amp; Operating Plan'!H21</f>
        <v>0</v>
      </c>
      <c r="F25" s="995"/>
      <c r="H25" s="185"/>
    </row>
    <row r="26" spans="1:9">
      <c r="A26" s="127"/>
      <c r="B26" s="151"/>
      <c r="C26" s="208" t="s">
        <v>631</v>
      </c>
      <c r="D26" s="209"/>
      <c r="E26" s="210">
        <f>SUM(E23:E25)</f>
        <v>0</v>
      </c>
      <c r="F26" s="996"/>
      <c r="H26" s="185"/>
    </row>
    <row r="27" spans="1:9">
      <c r="A27" s="148"/>
      <c r="B27" s="151"/>
      <c r="C27" s="213" t="s">
        <v>632</v>
      </c>
      <c r="D27" s="163" t="s">
        <v>633</v>
      </c>
      <c r="E27" s="975">
        <f>E16</f>
        <v>0</v>
      </c>
      <c r="F27" s="204"/>
      <c r="H27" s="185"/>
    </row>
    <row r="28" spans="1:9" ht="7.5" customHeight="1">
      <c r="C28" s="148"/>
      <c r="D28" s="182"/>
      <c r="E28" s="196"/>
      <c r="H28" s="185"/>
    </row>
    <row r="29" spans="1:9">
      <c r="B29" s="214" t="s">
        <v>634</v>
      </c>
      <c r="E29" s="196"/>
      <c r="F29" s="215"/>
      <c r="H29" s="185"/>
    </row>
    <row r="30" spans="1:9">
      <c r="B30" s="187" t="s">
        <v>635</v>
      </c>
      <c r="E30" s="2"/>
      <c r="G30" s="216"/>
      <c r="H30" s="216"/>
    </row>
    <row r="31" spans="1:9">
      <c r="B31" s="157"/>
      <c r="C31" s="217" t="s">
        <v>636</v>
      </c>
      <c r="D31" s="218"/>
      <c r="E31" s="219">
        <f>'A11.SFR&amp; Attestation Site 4'!F73</f>
        <v>0</v>
      </c>
      <c r="F31" s="751"/>
      <c r="G31" s="216"/>
      <c r="H31" s="216"/>
    </row>
    <row r="32" spans="1:9" ht="19" customHeight="1">
      <c r="B32" s="157"/>
      <c r="C32" s="220" t="s">
        <v>637</v>
      </c>
      <c r="D32" s="221"/>
      <c r="E32" s="222">
        <f>ProgramCostsAllocation</f>
        <v>0</v>
      </c>
      <c r="F32" s="204"/>
      <c r="G32" s="216"/>
      <c r="H32" s="216"/>
    </row>
    <row r="33" spans="1:8">
      <c r="B33" s="203"/>
      <c r="C33" s="223" t="s">
        <v>638</v>
      </c>
      <c r="D33" s="163" t="s">
        <v>639</v>
      </c>
      <c r="E33" s="224">
        <f>MIN(E31,E32)</f>
        <v>0</v>
      </c>
      <c r="F33" s="204"/>
      <c r="G33" s="216"/>
      <c r="H33" s="216"/>
    </row>
    <row r="34" spans="1:8" ht="7.5" customHeight="1">
      <c r="C34" s="148"/>
      <c r="D34" s="182"/>
      <c r="E34" s="196"/>
      <c r="H34" s="185"/>
    </row>
    <row r="35" spans="1:8">
      <c r="B35" s="214" t="s">
        <v>640</v>
      </c>
      <c r="C35" s="148"/>
      <c r="D35" s="182"/>
      <c r="E35" s="196"/>
      <c r="G35" s="216"/>
      <c r="H35" s="216"/>
    </row>
    <row r="36" spans="1:8">
      <c r="B36" s="187" t="s">
        <v>641</v>
      </c>
      <c r="E36" s="196"/>
      <c r="G36" s="216"/>
      <c r="H36" s="216"/>
    </row>
    <row r="37" spans="1:8" s="134" customFormat="1">
      <c r="C37" s="220" t="s">
        <v>642</v>
      </c>
      <c r="D37" s="221"/>
      <c r="E37" s="225">
        <f>4.25%*ActualProgramCosts</f>
        <v>0</v>
      </c>
      <c r="F37" s="212"/>
      <c r="G37" s="226"/>
      <c r="H37" s="226"/>
    </row>
    <row r="38" spans="1:8" s="134" customFormat="1" ht="30">
      <c r="C38" s="220" t="s">
        <v>643</v>
      </c>
      <c r="D38" s="221"/>
      <c r="E38" s="225">
        <f>3.5%*MIN(ActualProgramCosts,BenchmarkAllocation)</f>
        <v>0</v>
      </c>
      <c r="F38" s="204"/>
      <c r="G38" s="226"/>
      <c r="H38" s="226"/>
    </row>
    <row r="39" spans="1:8" s="134" customFormat="1" ht="30">
      <c r="C39" s="220" t="s">
        <v>644</v>
      </c>
      <c r="D39" s="221"/>
      <c r="E39" s="227">
        <f>'A6d. Operations-Site 4'!D192</f>
        <v>0</v>
      </c>
      <c r="F39" s="228"/>
      <c r="G39" s="229"/>
      <c r="H39" s="229"/>
    </row>
    <row r="40" spans="1:8">
      <c r="B40" s="230"/>
      <c r="C40" s="231" t="s">
        <v>645</v>
      </c>
      <c r="D40" s="163" t="s">
        <v>646</v>
      </c>
      <c r="E40" s="232">
        <f>ROUND(SUM(E37:E39),0)</f>
        <v>0</v>
      </c>
      <c r="F40" s="204"/>
      <c r="G40" s="233"/>
      <c r="H40" s="233"/>
    </row>
    <row r="41" spans="1:8" ht="7.5" customHeight="1">
      <c r="C41" s="148"/>
      <c r="D41" s="182"/>
      <c r="E41" s="196"/>
      <c r="H41" s="185"/>
    </row>
    <row r="42" spans="1:8">
      <c r="B42" s="214" t="s">
        <v>647</v>
      </c>
      <c r="C42" s="148"/>
      <c r="D42" s="182"/>
      <c r="E42" s="196"/>
      <c r="H42" s="185"/>
    </row>
    <row r="43" spans="1:8">
      <c r="B43" s="187" t="s">
        <v>648</v>
      </c>
      <c r="E43" s="2"/>
      <c r="H43" s="185"/>
    </row>
    <row r="44" spans="1:8">
      <c r="B44" s="234"/>
      <c r="C44" s="1" t="s">
        <v>649</v>
      </c>
      <c r="E44" s="235">
        <f>'A11.SFR&amp; Attestation Site 4'!F32</f>
        <v>0</v>
      </c>
      <c r="F44" s="204"/>
      <c r="H44" s="185"/>
    </row>
    <row r="45" spans="1:8">
      <c r="B45" s="234"/>
      <c r="C45" s="1" t="s">
        <v>650</v>
      </c>
      <c r="E45" s="235">
        <f>'A11.SFR&amp; Attestation Site 4'!F33</f>
        <v>0</v>
      </c>
      <c r="F45" s="204"/>
      <c r="H45" s="185"/>
    </row>
    <row r="46" spans="1:8">
      <c r="B46" s="234"/>
      <c r="C46" s="1" t="s">
        <v>651</v>
      </c>
      <c r="E46" s="235">
        <f>-E25</f>
        <v>0</v>
      </c>
      <c r="F46" s="236"/>
      <c r="H46" s="185"/>
    </row>
    <row r="47" spans="1:8">
      <c r="A47" s="148"/>
      <c r="B47" s="203"/>
      <c r="C47" s="231" t="s">
        <v>652</v>
      </c>
      <c r="D47" s="163" t="s">
        <v>653</v>
      </c>
      <c r="E47" s="232">
        <f>MAX(E46,E44+E45)</f>
        <v>0</v>
      </c>
      <c r="F47" s="204"/>
      <c r="H47" s="185"/>
    </row>
    <row r="48" spans="1:8" ht="7.5" customHeight="1">
      <c r="C48" s="148"/>
      <c r="D48" s="182"/>
      <c r="E48" s="196"/>
      <c r="H48" s="185"/>
    </row>
    <row r="49" spans="1:8">
      <c r="A49" s="148"/>
      <c r="B49" s="214" t="s">
        <v>654</v>
      </c>
      <c r="C49" s="148"/>
      <c r="D49" s="182"/>
      <c r="E49" s="237"/>
      <c r="H49" s="185"/>
    </row>
    <row r="50" spans="1:8">
      <c r="A50" s="148"/>
      <c r="B50" s="187" t="s">
        <v>655</v>
      </c>
      <c r="C50" s="148"/>
      <c r="D50" s="182"/>
      <c r="E50" s="237"/>
      <c r="H50" s="185"/>
    </row>
    <row r="51" spans="1:8">
      <c r="A51" s="148"/>
      <c r="B51" s="214"/>
      <c r="C51" s="1" t="s">
        <v>533</v>
      </c>
      <c r="E51" s="222">
        <f>+E33</f>
        <v>0</v>
      </c>
      <c r="F51" s="204"/>
      <c r="H51" s="185"/>
    </row>
    <row r="52" spans="1:8">
      <c r="A52" s="148"/>
      <c r="B52" s="214"/>
      <c r="C52" s="1" t="s">
        <v>656</v>
      </c>
      <c r="E52" s="222">
        <f>+E40</f>
        <v>0</v>
      </c>
      <c r="F52" s="204"/>
      <c r="H52" s="185"/>
    </row>
    <row r="53" spans="1:8">
      <c r="A53" s="148"/>
      <c r="B53" s="214"/>
      <c r="C53" s="1" t="s">
        <v>657</v>
      </c>
      <c r="E53" s="235">
        <f>-E47</f>
        <v>0</v>
      </c>
      <c r="F53" s="236"/>
      <c r="H53" s="185"/>
    </row>
    <row r="54" spans="1:8">
      <c r="B54" s="203"/>
      <c r="C54" s="231" t="s">
        <v>658</v>
      </c>
      <c r="D54" s="163" t="s">
        <v>659</v>
      </c>
      <c r="E54" s="232">
        <f>SUM(E51:E53)</f>
        <v>0</v>
      </c>
      <c r="F54" s="204"/>
      <c r="H54" s="185"/>
    </row>
    <row r="55" spans="1:8" ht="7.5" customHeight="1">
      <c r="C55" s="148"/>
      <c r="D55" s="182"/>
      <c r="E55" s="196"/>
      <c r="H55" s="185"/>
    </row>
    <row r="56" spans="1:8">
      <c r="A56" s="148"/>
      <c r="B56" s="238" t="s">
        <v>660</v>
      </c>
      <c r="C56" s="239"/>
      <c r="D56" s="240"/>
      <c r="E56" s="202"/>
      <c r="H56" s="185"/>
    </row>
    <row r="57" spans="1:8">
      <c r="A57" s="148"/>
      <c r="B57" s="187" t="s">
        <v>661</v>
      </c>
      <c r="C57" s="239"/>
      <c r="D57" s="240"/>
      <c r="E57" s="241"/>
      <c r="H57" s="185"/>
    </row>
    <row r="58" spans="1:8">
      <c r="C58" s="242" t="s">
        <v>662</v>
      </c>
      <c r="E58" s="222">
        <f>+E15</f>
        <v>0</v>
      </c>
      <c r="F58" s="204"/>
      <c r="H58" s="185"/>
    </row>
    <row r="59" spans="1:8">
      <c r="B59" s="203"/>
      <c r="C59" s="242" t="s">
        <v>663</v>
      </c>
      <c r="E59" s="222">
        <f>+E54</f>
        <v>0</v>
      </c>
      <c r="F59" s="204"/>
      <c r="H59" s="185"/>
    </row>
    <row r="60" spans="1:8">
      <c r="B60" s="203"/>
      <c r="C60" s="231" t="str" cm="1">
        <f t="array" ref="C60">+_xlfn.IFS(E60=0,"= No amount due", E60&lt;0,"= Payable to the licensee in respect Actual Cost-Based Funding", 1,"= Overpayment. Amount payable to the CMSM/DSSAB in respect of Actual Cost-Based Funding")</f>
        <v>= No amount due</v>
      </c>
      <c r="D60" s="163" t="s">
        <v>664</v>
      </c>
      <c r="E60" s="232">
        <f>ROUND(E58-E59,2)</f>
        <v>0</v>
      </c>
      <c r="F60" s="204"/>
      <c r="G60" s="202"/>
      <c r="H60" s="185"/>
    </row>
    <row r="61" spans="1:8" ht="12.75" customHeight="1">
      <c r="C61" s="148"/>
      <c r="D61" s="182"/>
      <c r="E61" s="196"/>
      <c r="H61" s="185"/>
    </row>
    <row r="62" spans="1:8" ht="15.75" customHeight="1">
      <c r="A62" s="148"/>
      <c r="B62" s="187" t="s">
        <v>665</v>
      </c>
      <c r="C62" s="239"/>
      <c r="D62" s="240"/>
      <c r="E62" s="241"/>
      <c r="F62" s="1212" t="str">
        <f>IF('A3. Peel Region Grants'!I76&gt;0,"Deferred revenue and amount spent being added as spent until recon completed."," ")</f>
        <v xml:space="preserve"> </v>
      </c>
      <c r="H62" s="185"/>
    </row>
    <row r="63" spans="1:8" ht="15.75" customHeight="1">
      <c r="B63" s="243"/>
      <c r="C63" s="185" t="s">
        <v>666</v>
      </c>
      <c r="D63" s="244"/>
      <c r="E63" s="222">
        <f>'A11.SFR&amp; Attestation Site 4'!F75</f>
        <v>0</v>
      </c>
      <c r="F63" s="1212"/>
      <c r="H63" s="156"/>
    </row>
    <row r="64" spans="1:8">
      <c r="A64" s="148"/>
      <c r="B64" s="245"/>
      <c r="C64" s="185" t="s">
        <v>667</v>
      </c>
      <c r="D64" s="244"/>
      <c r="E64" s="222">
        <f>+E27</f>
        <v>0</v>
      </c>
      <c r="F64" s="1212"/>
      <c r="H64" s="246"/>
    </row>
    <row r="65" spans="1:8">
      <c r="B65" s="160"/>
      <c r="C65" s="247" t="s">
        <v>668</v>
      </c>
      <c r="D65" s="163" t="s">
        <v>669</v>
      </c>
      <c r="E65" s="248">
        <f>MIN(E64,E63)</f>
        <v>0</v>
      </c>
      <c r="F65" s="1212"/>
      <c r="H65" s="156"/>
    </row>
    <row r="66" spans="1:8">
      <c r="B66" s="249"/>
      <c r="C66" s="194" t="s">
        <v>670</v>
      </c>
      <c r="D66" s="244"/>
      <c r="E66" s="222">
        <f>+E16</f>
        <v>0</v>
      </c>
      <c r="F66" s="1212"/>
      <c r="H66" s="246"/>
    </row>
    <row r="67" spans="1:8">
      <c r="B67" s="251"/>
      <c r="C67" s="252" t="str" cm="1">
        <f t="array" ref="C67">+_xlfn.IFS(E67=0,"= No amount due",E67&lt;0,"= Payable to the licensee in respect Actual Cost-Based Funding",1, "= Overpayment. Amount payable to the CMSM/DSSAB in respect of one-time, unexpected cost")</f>
        <v>= No amount due</v>
      </c>
      <c r="D67" s="163" t="s">
        <v>671</v>
      </c>
      <c r="E67" s="232">
        <f>+E66-E65</f>
        <v>0</v>
      </c>
      <c r="F67" s="250"/>
      <c r="G67" s="202"/>
      <c r="H67" s="210"/>
    </row>
    <row r="68" spans="1:8">
      <c r="B68" s="251"/>
      <c r="D68" s="527"/>
      <c r="E68" s="1"/>
      <c r="F68" s="250"/>
      <c r="G68" s="202"/>
      <c r="H68" s="210"/>
    </row>
    <row r="69" spans="1:8" ht="16.5" customHeight="1">
      <c r="C69" s="148"/>
      <c r="D69" s="182"/>
      <c r="E69" s="196"/>
      <c r="H69" s="185"/>
    </row>
    <row r="70" spans="1:8">
      <c r="A70" s="148"/>
      <c r="B70" s="187" t="s">
        <v>672</v>
      </c>
      <c r="C70" s="239"/>
      <c r="D70" s="240"/>
      <c r="E70" s="241"/>
      <c r="H70" s="185"/>
    </row>
    <row r="71" spans="1:8" ht="20">
      <c r="C71" s="253" t="str" cm="1">
        <f t="array" ref="C71">+_xlfn.IFS(E60=0,"= No amount due",E60&lt;0,"= Payable to the licensee",1,"= Overpayment payable to the CMSM/DSSAB")</f>
        <v>= No amount due</v>
      </c>
      <c r="D71" s="254"/>
      <c r="E71" s="255">
        <f>ROUND(IF(SUM(E15:E16,E20:E22,E24:E25,E27)=0,0,E60+E67),2)</f>
        <v>0</v>
      </c>
      <c r="F71" s="256"/>
    </row>
    <row r="72" spans="1:8" ht="18" customHeight="1">
      <c r="C72" s="148"/>
      <c r="D72" s="182"/>
      <c r="E72" s="196"/>
      <c r="H72" s="185"/>
    </row>
    <row r="73" spans="1:8">
      <c r="A73" s="148"/>
      <c r="B73" s="238" t="s">
        <v>673</v>
      </c>
      <c r="C73" s="257"/>
      <c r="D73" s="258"/>
      <c r="E73" s="259"/>
      <c r="G73" s="217"/>
      <c r="H73" s="185"/>
    </row>
    <row r="74" spans="1:8">
      <c r="A74" s="148"/>
      <c r="B74" s="187" t="s">
        <v>674</v>
      </c>
      <c r="C74" s="257"/>
      <c r="D74" s="258"/>
      <c r="E74" s="259"/>
      <c r="G74" s="217"/>
      <c r="H74" s="185"/>
    </row>
    <row r="75" spans="1:8">
      <c r="A75" s="148"/>
      <c r="B75" s="238"/>
      <c r="C75" s="242" t="s">
        <v>675</v>
      </c>
      <c r="D75" s="258"/>
      <c r="E75" s="260">
        <f>+ActualProgramCosts</f>
        <v>0</v>
      </c>
      <c r="G75" s="217"/>
      <c r="H75" s="185"/>
    </row>
    <row r="76" spans="1:8">
      <c r="A76" s="148"/>
      <c r="B76" s="238"/>
      <c r="C76" s="242" t="str">
        <f>+C20</f>
        <v>Benchmark Allocation</v>
      </c>
      <c r="D76" s="258"/>
      <c r="E76" s="260">
        <f>+BenchmarkAllocation</f>
        <v>0</v>
      </c>
      <c r="G76" s="217"/>
      <c r="H76" s="185"/>
    </row>
    <row r="77" spans="1:8">
      <c r="A77" s="127" t="s">
        <v>834</v>
      </c>
      <c r="B77" s="261"/>
      <c r="C77" s="262" t="s">
        <v>736</v>
      </c>
      <c r="D77" s="163" t="s">
        <v>676</v>
      </c>
      <c r="E77" s="263" t="e" cm="1">
        <f t="array" ref="E77">_xlfn.IFS(BenchmarkAllocation="","",ActualProgramCosts-BenchmarkAllocation&lt;0,0,1,ROUND((ActualProgramCosts-BenchmarkAllocation)/BenchmarkAllocation,4))</f>
        <v>#DIV/0!</v>
      </c>
      <c r="F77" s="264"/>
      <c r="G77" s="265"/>
      <c r="H77" s="266"/>
    </row>
    <row r="78" spans="1:8" ht="7.5" customHeight="1">
      <c r="C78" s="148"/>
      <c r="D78" s="182"/>
      <c r="E78" s="196"/>
      <c r="H78" s="185"/>
    </row>
    <row r="79" spans="1:8">
      <c r="B79" s="187" t="s">
        <v>677</v>
      </c>
      <c r="D79" s="267" t="s">
        <v>678</v>
      </c>
      <c r="E79" s="268"/>
      <c r="F79" s="528"/>
    </row>
    <row r="80" spans="1:8"/>
    <row r="81"/>
    <row r="82"/>
    <row r="83"/>
    <row r="94"/>
    <row r="95"/>
    <row r="96"/>
    <row r="97"/>
    <row r="98"/>
    <row r="99"/>
    <row r="106"/>
    <row r="107"/>
    <row r="108"/>
    <row r="109"/>
    <row r="110"/>
    <row r="111"/>
    <row r="112"/>
    <row r="113"/>
    <row r="114"/>
  </sheetData>
  <sheetProtection algorithmName="SHA-512" hashValue="aXExZrQyxnvihoVl/IVPxib8Pb24dXsklML7MbWkcjBKqOjtFlF48uSHIQ95ksbc4aYZ5gf1vUrOPs8zZB1hAw==" saltValue="3+8ivQC5IzV5hRtaBYyxbQ==" spinCount="100000" sheet="1" objects="1" scenarios="1"/>
  <mergeCells count="2">
    <mergeCell ref="A1:I1"/>
    <mergeCell ref="F62:F66"/>
  </mergeCells>
  <conditionalFormatting sqref="E8:E11 G8:H11">
    <cfRule type="cellIs" dxfId="46" priority="3" operator="notEqual">
      <formula>""</formula>
    </cfRule>
  </conditionalFormatting>
  <conditionalFormatting sqref="E15:E16">
    <cfRule type="notContainsBlanks" dxfId="45" priority="1">
      <formula>LEN(TRIM(E15))&gt;0</formula>
    </cfRule>
  </conditionalFormatting>
  <conditionalFormatting sqref="E20:E22 E24:E25 E27">
    <cfRule type="notContainsBlanks" dxfId="44" priority="4">
      <formula>LEN(TRIM(E20))&gt;0</formula>
    </cfRule>
  </conditionalFormatting>
  <conditionalFormatting sqref="E79">
    <cfRule type="cellIs" dxfId="43" priority="2" operator="notEqual">
      <formula>""</formula>
    </cfRule>
  </conditionalFormatting>
  <dataValidations count="4">
    <dataValidation type="decimal" operator="greaterThanOrEqual" allowBlank="1" showInputMessage="1" showErrorMessage="1" error="Must be an amount greater than or equal to 0." sqref="E27 E16" xr:uid="{A891A278-C624-47EF-A038-FF3542877B18}">
      <formula1>0</formula1>
    </dataValidation>
    <dataValidation type="decimal" operator="greaterThan" allowBlank="1" showInputMessage="1" error="Must be an amount greater than 0." sqref="E24 E15 E20:E22" xr:uid="{FB786080-5202-41B7-9FD0-857EF852388B}">
      <formula1>0</formula1>
    </dataValidation>
    <dataValidation type="decimal" operator="lessThan" allowBlank="1" showInputMessage="1" error="Must be an amount less than 0." sqref="E25" xr:uid="{6E12F261-EF00-43DC-9F83-AC6A5D8A0715}">
      <formula1>0</formula1>
    </dataValidation>
    <dataValidation type="date" operator="greaterThanOrEqual" allowBlank="1" showInputMessage="1" showErrorMessage="1" error="Must be a date not earlier than today's date" sqref="E79" xr:uid="{F446C033-737B-4BDF-BCC9-32D595688F0D}">
      <formula1>TODAY()</formula1>
    </dataValidation>
  </dataValidation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246D1-1BF6-4125-A55D-7071E98DF62F}">
  <sheetPr>
    <tabColor theme="9" tint="0.59999389629810485"/>
  </sheetPr>
  <dimension ref="B1:XEN200"/>
  <sheetViews>
    <sheetView showGridLines="0" zoomScale="85" zoomScaleNormal="85" workbookViewId="0">
      <selection activeCell="F9" sqref="F9"/>
    </sheetView>
  </sheetViews>
  <sheetFormatPr defaultColWidth="9.1796875" defaultRowHeight="15.5" outlineLevelRow="1"/>
  <cols>
    <col min="1" max="1" width="3.453125" style="9" customWidth="1"/>
    <col min="2" max="2" width="86.7265625" style="9" customWidth="1"/>
    <col min="3" max="3" width="12.90625" style="9" customWidth="1"/>
    <col min="4" max="4" width="20.7265625" style="9" customWidth="1"/>
    <col min="5" max="5" width="23" style="9" customWidth="1"/>
    <col min="6" max="6" width="23.7265625" style="9" customWidth="1"/>
    <col min="7" max="7" width="6.7265625" style="9" customWidth="1"/>
    <col min="8" max="8" width="74.453125" style="9" customWidth="1"/>
    <col min="9" max="9" width="9.453125" style="9" customWidth="1"/>
    <col min="10" max="10" width="9.1796875" style="9"/>
    <col min="11" max="11" width="17.54296875" style="9" customWidth="1"/>
    <col min="12" max="16384" width="9.1796875" style="9"/>
  </cols>
  <sheetData>
    <row r="1" spans="2:12 16363:16368" ht="21" customHeight="1">
      <c r="B1" s="1180" t="str">
        <f>IF('A1. Identification'!D7=0, "2025 FAIR, CWELCC and OTEF Reconciliation for Multi Site Operators",'A1. Identification'!D7)</f>
        <v>2025 FAIR, CWELCC and OTEF Reconciliation for Multi Site Operators</v>
      </c>
      <c r="C1" s="1181"/>
      <c r="D1" s="1181"/>
      <c r="E1" s="1181"/>
      <c r="F1" s="1181"/>
      <c r="G1" s="443"/>
      <c r="K1" s="109" t="s">
        <v>109</v>
      </c>
      <c r="L1" s="110" t="str">
        <f>IF('A1. Identification'!$D$13=0, " ",'A1. Identification'!$D$13)</f>
        <v xml:space="preserve"> </v>
      </c>
    </row>
    <row r="2" spans="2:12 16363:16368" ht="19" customHeight="1">
      <c r="B2" s="1182" t="str">
        <f>IF('A1. Identification'!B6=0, " ", "Statement of Operations / Income Statement of "&amp; 'A2.Allocation &amp; Operating Plan'!$C$125)</f>
        <v xml:space="preserve">Statement of Operations / Income Statement of  </v>
      </c>
      <c r="C2" s="1091"/>
      <c r="D2" s="1091"/>
      <c r="E2" s="1091"/>
      <c r="F2" s="1091"/>
      <c r="G2" s="444"/>
      <c r="K2" s="109" t="s">
        <v>301</v>
      </c>
      <c r="L2" s="993">
        <f>F7</f>
        <v>0</v>
      </c>
    </row>
    <row r="3" spans="2:12 16363:16368" ht="17.5" customHeight="1" thickBot="1">
      <c r="B3" s="1183" t="s">
        <v>954</v>
      </c>
      <c r="C3" s="1184"/>
      <c r="D3" s="1184"/>
      <c r="E3" s="1184"/>
      <c r="F3" s="1184"/>
      <c r="G3" s="1185"/>
      <c r="H3" s="14"/>
    </row>
    <row r="4" spans="2:12 16363:16368" s="445" customFormat="1" ht="10.5" customHeight="1"/>
    <row r="5" spans="2:12 16363:16368" s="445" customFormat="1" ht="7.5" customHeight="1">
      <c r="B5" s="446"/>
    </row>
    <row r="6" spans="2:12 16363:16368" ht="21.75" customHeight="1" thickBot="1">
      <c r="B6" s="447" t="s">
        <v>852</v>
      </c>
    </row>
    <row r="7" spans="2:12 16363:16368">
      <c r="B7" s="448" t="s">
        <v>724</v>
      </c>
      <c r="C7" s="449"/>
      <c r="D7" s="449"/>
      <c r="E7" s="449"/>
      <c r="F7" s="912">
        <f>'A2.Allocation &amp; Operating Plan'!I10</f>
        <v>0</v>
      </c>
      <c r="G7" s="106" t="s">
        <v>772</v>
      </c>
      <c r="H7" s="14"/>
    </row>
    <row r="8" spans="2:12 16363:16368">
      <c r="B8" s="78" t="s">
        <v>725</v>
      </c>
      <c r="F8" s="912">
        <f>'A2.Allocation &amp; Operating Plan'!I11</f>
        <v>0</v>
      </c>
      <c r="G8" s="106" t="s">
        <v>773</v>
      </c>
      <c r="H8" s="14"/>
    </row>
    <row r="9" spans="2:12 16363:16368">
      <c r="B9" s="78" t="s">
        <v>727</v>
      </c>
      <c r="F9" s="285"/>
      <c r="G9" s="106" t="s">
        <v>774</v>
      </c>
      <c r="H9" s="1186" t="s">
        <v>898</v>
      </c>
      <c r="I9" s="1187"/>
      <c r="XEI9" s="525" t="s">
        <v>309</v>
      </c>
      <c r="XEJ9" s="525"/>
      <c r="XEK9" s="525" t="s">
        <v>398</v>
      </c>
      <c r="XEL9" s="525"/>
      <c r="XEM9" s="525" t="s">
        <v>130</v>
      </c>
      <c r="XEN9" s="525" t="s">
        <v>305</v>
      </c>
    </row>
    <row r="10" spans="2:12 16363:16368" ht="15.5" customHeight="1">
      <c r="B10" s="78" t="s">
        <v>304</v>
      </c>
      <c r="F10" s="912">
        <f>+'A2.Allocation &amp; Operating Plan'!I125</f>
        <v>0</v>
      </c>
      <c r="G10" s="106" t="s">
        <v>775</v>
      </c>
      <c r="H10" s="1186"/>
      <c r="I10" s="1187"/>
      <c r="XEI10" s="525" t="s">
        <v>310</v>
      </c>
      <c r="XEJ10" s="525"/>
      <c r="XEK10" s="525" t="s">
        <v>400</v>
      </c>
      <c r="XEL10" s="525"/>
      <c r="XEM10" s="525" t="s">
        <v>115</v>
      </c>
      <c r="XEN10" s="525" t="s">
        <v>307</v>
      </c>
    </row>
    <row r="11" spans="2:12 16363:16368" ht="15.5" customHeight="1">
      <c r="B11" s="78" t="s">
        <v>959</v>
      </c>
      <c r="C11" s="133"/>
      <c r="F11" s="284"/>
      <c r="G11" s="106" t="s">
        <v>776</v>
      </c>
      <c r="H11" s="1186"/>
      <c r="I11" s="1187"/>
      <c r="XEI11" s="525" t="s">
        <v>311</v>
      </c>
      <c r="XEJ11" s="525"/>
      <c r="XEK11" s="525" t="s">
        <v>399</v>
      </c>
      <c r="XEL11" s="525"/>
      <c r="XEM11" s="525"/>
      <c r="XEN11" s="525" t="s">
        <v>308</v>
      </c>
    </row>
    <row r="12" spans="2:12 16363:16368" ht="16" thickBot="1">
      <c r="B12" s="78" t="s">
        <v>392</v>
      </c>
      <c r="C12" s="14"/>
      <c r="D12" s="14"/>
      <c r="F12" s="436"/>
      <c r="G12" s="106" t="s">
        <v>777</v>
      </c>
      <c r="H12" s="1188"/>
      <c r="I12" s="1189"/>
      <c r="XEI12" s="525"/>
      <c r="XEJ12" s="525"/>
      <c r="XEK12" s="525" t="s">
        <v>91</v>
      </c>
      <c r="XEL12" s="525"/>
      <c r="XEM12" s="525"/>
      <c r="XEN12" s="525" t="s">
        <v>334</v>
      </c>
    </row>
    <row r="13" spans="2:12 16363:16368">
      <c r="B13" s="78" t="s">
        <v>835</v>
      </c>
      <c r="C13" s="14"/>
      <c r="D13" s="14"/>
      <c r="F13" s="436"/>
      <c r="G13" s="106" t="s">
        <v>778</v>
      </c>
      <c r="H13" s="866"/>
      <c r="I13" s="116" t="s">
        <v>860</v>
      </c>
      <c r="XEI13" s="525"/>
      <c r="XEJ13" s="525"/>
      <c r="XEK13" s="525"/>
      <c r="XEL13" s="525"/>
      <c r="XEM13" s="525"/>
      <c r="XEN13" s="525" t="s">
        <v>91</v>
      </c>
    </row>
    <row r="14" spans="2:12 16363:16368">
      <c r="B14" s="78" t="s">
        <v>897</v>
      </c>
      <c r="C14" s="14"/>
      <c r="D14" s="14"/>
      <c r="F14" s="436"/>
      <c r="G14" s="106" t="s">
        <v>779</v>
      </c>
      <c r="H14" s="867"/>
      <c r="I14" s="106" t="s">
        <v>895</v>
      </c>
    </row>
    <row r="15" spans="2:12 16363:16368" ht="16" thickBot="1">
      <c r="B15" s="450" t="s">
        <v>306</v>
      </c>
      <c r="C15" s="17"/>
      <c r="D15" s="451"/>
      <c r="E15" s="1190"/>
      <c r="F15" s="1191"/>
      <c r="G15" s="107" t="s">
        <v>859</v>
      </c>
      <c r="H15" s="868"/>
      <c r="I15" s="107" t="s">
        <v>896</v>
      </c>
    </row>
    <row r="16" spans="2:12 16363:16368" s="14" customFormat="1" ht="16" thickBot="1">
      <c r="G16" s="9"/>
      <c r="XEN16" s="9"/>
    </row>
    <row r="17" spans="2:8" ht="31.5" thickBot="1">
      <c r="B17" s="452" t="s">
        <v>175</v>
      </c>
      <c r="C17" s="65"/>
      <c r="D17" s="453" t="s">
        <v>172</v>
      </c>
      <c r="E17" s="454" t="s">
        <v>312</v>
      </c>
      <c r="F17" s="455" t="s">
        <v>313</v>
      </c>
      <c r="H17" s="86"/>
    </row>
    <row r="18" spans="2:8" ht="15.75" customHeight="1">
      <c r="B18" s="456" t="s">
        <v>422</v>
      </c>
      <c r="C18" s="457">
        <v>301</v>
      </c>
      <c r="D18" s="458">
        <f>E197-E187</f>
        <v>0</v>
      </c>
      <c r="E18" s="459">
        <f>D18</f>
        <v>0</v>
      </c>
      <c r="F18" s="460"/>
      <c r="H18" s="1192" t="s">
        <v>737</v>
      </c>
    </row>
    <row r="19" spans="2:8" ht="16" thickBot="1">
      <c r="B19" s="20" t="s">
        <v>819</v>
      </c>
      <c r="C19" s="461">
        <v>302</v>
      </c>
      <c r="D19" s="462">
        <f>E187</f>
        <v>0</v>
      </c>
      <c r="E19" s="463">
        <f>+D19</f>
        <v>0</v>
      </c>
      <c r="F19" s="464"/>
      <c r="H19" s="1193"/>
    </row>
    <row r="20" spans="2:8">
      <c r="B20" s="20" t="s">
        <v>836</v>
      </c>
      <c r="C20" s="461">
        <v>303</v>
      </c>
      <c r="D20" s="101"/>
      <c r="E20" s="27"/>
      <c r="F20" s="465">
        <f>+D20-E20</f>
        <v>0</v>
      </c>
      <c r="H20" s="117" t="str">
        <f>IF(AND(ISNUMBER(D20), ISBLANK(E20)), "Error: Missing 0-6 amount", "")</f>
        <v/>
      </c>
    </row>
    <row r="21" spans="2:8">
      <c r="B21" s="20" t="s">
        <v>820</v>
      </c>
      <c r="C21" s="461">
        <v>304</v>
      </c>
      <c r="D21" s="101"/>
      <c r="E21" s="101"/>
      <c r="F21" s="465">
        <f>+D21-E21</f>
        <v>0</v>
      </c>
      <c r="H21" s="117" t="str">
        <f>IF(AND(ISNUMBER(D21), ISBLANK(E21)), "Error: Missing 0-6 amount", "")</f>
        <v/>
      </c>
    </row>
    <row r="22" spans="2:8">
      <c r="B22" s="20" t="s">
        <v>423</v>
      </c>
      <c r="C22" s="461">
        <v>305</v>
      </c>
      <c r="D22" s="101"/>
      <c r="E22" s="931"/>
      <c r="F22" s="462">
        <f>D22</f>
        <v>0</v>
      </c>
    </row>
    <row r="23" spans="2:8" s="467" customFormat="1">
      <c r="B23" s="20" t="s">
        <v>385</v>
      </c>
      <c r="C23" s="461">
        <v>306</v>
      </c>
      <c r="D23" s="101"/>
      <c r="E23" s="463">
        <f>D23</f>
        <v>0</v>
      </c>
      <c r="F23" s="464"/>
    </row>
    <row r="24" spans="2:8">
      <c r="B24" s="20" t="s">
        <v>383</v>
      </c>
      <c r="C24" s="461">
        <v>307</v>
      </c>
      <c r="D24" s="101"/>
      <c r="E24" s="463"/>
      <c r="F24" s="465">
        <f>D24-E24</f>
        <v>0</v>
      </c>
      <c r="H24" s="555" t="s">
        <v>881</v>
      </c>
    </row>
    <row r="25" spans="2:8">
      <c r="B25" s="20" t="s">
        <v>808</v>
      </c>
      <c r="C25" s="461">
        <v>308</v>
      </c>
      <c r="D25" s="462">
        <f>'A3. Peel Region Grants'!H117</f>
        <v>0</v>
      </c>
      <c r="E25" s="463">
        <f>D25</f>
        <v>0</v>
      </c>
      <c r="F25" s="465">
        <f>D25-E25</f>
        <v>0</v>
      </c>
      <c r="H25" s="555" t="s">
        <v>881</v>
      </c>
    </row>
    <row r="26" spans="2:8" ht="15.75" hidden="1" customHeight="1">
      <c r="B26" s="20" t="s">
        <v>239</v>
      </c>
      <c r="C26" s="461">
        <v>309</v>
      </c>
      <c r="D26" s="929"/>
      <c r="E26" s="930"/>
      <c r="F26" s="465">
        <f>D26-E26</f>
        <v>0</v>
      </c>
      <c r="H26" s="12" t="s">
        <v>283</v>
      </c>
    </row>
    <row r="27" spans="2:8">
      <c r="B27" s="20" t="s">
        <v>809</v>
      </c>
      <c r="C27" s="461">
        <v>309</v>
      </c>
      <c r="D27" s="101"/>
      <c r="E27" s="27"/>
      <c r="F27" s="465">
        <f>D27-E27</f>
        <v>0</v>
      </c>
      <c r="H27" s="555" t="s">
        <v>881</v>
      </c>
    </row>
    <row r="28" spans="2:8">
      <c r="B28" s="419" t="s">
        <v>855</v>
      </c>
      <c r="C28" s="461">
        <v>310</v>
      </c>
      <c r="D28" s="101"/>
      <c r="E28" s="27"/>
      <c r="F28" s="465">
        <f>+D28-E28</f>
        <v>0</v>
      </c>
      <c r="H28" s="117" t="str">
        <f>IF(AND(ISNUMBER(D28), ISBLANK(E28)), "Error: Missing 0-6 amount", "")</f>
        <v/>
      </c>
    </row>
    <row r="29" spans="2:8">
      <c r="B29" s="419" t="s">
        <v>856</v>
      </c>
      <c r="C29" s="461">
        <v>311</v>
      </c>
      <c r="D29" s="101"/>
      <c r="E29" s="27"/>
      <c r="F29" s="465">
        <f>+D29-E29</f>
        <v>0</v>
      </c>
      <c r="H29" s="117" t="str">
        <f>IF(AND(ISNUMBER(D29), ISBLANK(E29)), "Error: Missing 0-6 amount", "")</f>
        <v/>
      </c>
    </row>
    <row r="30" spans="2:8" ht="16.5" customHeight="1" thickBot="1">
      <c r="B30" s="469" t="s">
        <v>176</v>
      </c>
      <c r="C30" s="470">
        <v>312</v>
      </c>
      <c r="D30" s="471">
        <f>SUM(D18:D29)</f>
        <v>0</v>
      </c>
      <c r="E30" s="472">
        <f>SUM(E18:E29)</f>
        <v>0</v>
      </c>
      <c r="F30" s="471">
        <f>SUM(F18:F29)</f>
        <v>0</v>
      </c>
      <c r="H30" s="513"/>
    </row>
    <row r="31" spans="2:8" ht="16.5" customHeight="1" thickBot="1">
      <c r="C31" s="473"/>
      <c r="D31" s="64"/>
      <c r="E31" s="64"/>
      <c r="F31" s="64"/>
    </row>
    <row r="32" spans="2:8" ht="18.5">
      <c r="B32" s="474" t="s">
        <v>419</v>
      </c>
      <c r="C32" s="65"/>
      <c r="D32" s="453" t="s">
        <v>172</v>
      </c>
      <c r="E32" s="453" t="s">
        <v>173</v>
      </c>
      <c r="F32" s="475" t="s">
        <v>174</v>
      </c>
    </row>
    <row r="33" spans="2:11" ht="16" thickBot="1">
      <c r="B33" s="476" t="s">
        <v>394</v>
      </c>
      <c r="C33" s="477"/>
      <c r="D33" s="478"/>
      <c r="E33" s="478" t="s">
        <v>803</v>
      </c>
      <c r="F33" s="479" t="s">
        <v>286</v>
      </c>
    </row>
    <row r="34" spans="2:11" ht="16.5" customHeight="1" thickBot="1">
      <c r="C34" s="17"/>
      <c r="D34" s="480"/>
      <c r="E34" s="481"/>
      <c r="H34" s="1194" t="s">
        <v>386</v>
      </c>
    </row>
    <row r="35" spans="2:11" ht="16" thickBot="1">
      <c r="B35" s="482" t="s">
        <v>469</v>
      </c>
      <c r="C35" s="483">
        <v>411</v>
      </c>
      <c r="D35" s="484">
        <f>+D37+D45+D53</f>
        <v>0</v>
      </c>
      <c r="E35" s="484">
        <f>+E37+E45+E53</f>
        <v>0</v>
      </c>
      <c r="F35" s="484">
        <f>+F37+F45+F53</f>
        <v>0</v>
      </c>
      <c r="H35" s="1195"/>
    </row>
    <row r="36" spans="2:11" ht="16.5" customHeight="1" thickBot="1">
      <c r="C36" s="473"/>
      <c r="D36" s="64"/>
      <c r="E36" s="64"/>
      <c r="F36" s="64"/>
    </row>
    <row r="37" spans="2:11" ht="16" thickBot="1">
      <c r="B37" s="114" t="s">
        <v>720</v>
      </c>
      <c r="C37" s="116" t="s">
        <v>40</v>
      </c>
      <c r="D37" s="484">
        <f>SUM(D38:D44)</f>
        <v>0</v>
      </c>
      <c r="E37" s="484">
        <f>SUM(E38:E44)</f>
        <v>0</v>
      </c>
      <c r="F37" s="484">
        <f>SUM(F38:F44)</f>
        <v>0</v>
      </c>
      <c r="H37" s="493"/>
      <c r="I37" s="9" t="str">
        <f t="shared" ref="I37:I52" si="0">IF(AND(ISNUMBER(D37), ISBLANK(E37)), "Error: Missing 0-6 amount", "")</f>
        <v/>
      </c>
    </row>
    <row r="38" spans="2:11" ht="14.5" customHeight="1">
      <c r="B38" s="278" t="s">
        <v>538</v>
      </c>
      <c r="C38" s="106" t="s">
        <v>41</v>
      </c>
      <c r="D38" s="546"/>
      <c r="E38" s="546"/>
      <c r="F38" s="545">
        <f t="shared" ref="F38:F44" si="1">+D38-E38</f>
        <v>0</v>
      </c>
      <c r="H38" s="437"/>
      <c r="I38" s="117" t="str">
        <f t="shared" si="0"/>
        <v/>
      </c>
      <c r="K38" s="10"/>
    </row>
    <row r="39" spans="2:11" ht="14.5" customHeight="1">
      <c r="B39" s="864" t="s">
        <v>882</v>
      </c>
      <c r="C39" s="112" t="s">
        <v>883</v>
      </c>
      <c r="D39" s="546"/>
      <c r="E39" s="546"/>
      <c r="F39" s="545">
        <f t="shared" si="1"/>
        <v>0</v>
      </c>
      <c r="H39" s="437"/>
      <c r="I39" s="117"/>
      <c r="K39" s="10"/>
    </row>
    <row r="40" spans="2:11">
      <c r="B40" s="278" t="s">
        <v>886</v>
      </c>
      <c r="C40" s="106" t="s">
        <v>42</v>
      </c>
      <c r="D40" s="546"/>
      <c r="E40" s="546"/>
      <c r="F40" s="485">
        <f t="shared" si="1"/>
        <v>0</v>
      </c>
      <c r="H40" s="437"/>
      <c r="I40" s="117" t="str">
        <f t="shared" si="0"/>
        <v/>
      </c>
      <c r="K40" s="10"/>
    </row>
    <row r="41" spans="2:11">
      <c r="B41" s="278" t="s">
        <v>837</v>
      </c>
      <c r="C41" s="106" t="s">
        <v>43</v>
      </c>
      <c r="D41" s="546"/>
      <c r="E41" s="546"/>
      <c r="F41" s="485">
        <f t="shared" si="1"/>
        <v>0</v>
      </c>
      <c r="H41" s="437"/>
      <c r="I41" s="117" t="str">
        <f t="shared" si="0"/>
        <v/>
      </c>
      <c r="K41" s="10"/>
    </row>
    <row r="42" spans="2:11">
      <c r="B42" s="278" t="s">
        <v>965</v>
      </c>
      <c r="C42" s="106" t="s">
        <v>787</v>
      </c>
      <c r="D42" s="546"/>
      <c r="E42" s="546"/>
      <c r="F42" s="485">
        <f t="shared" si="1"/>
        <v>0</v>
      </c>
      <c r="H42" s="437"/>
      <c r="I42" s="117" t="str">
        <f t="shared" si="0"/>
        <v/>
      </c>
      <c r="K42" s="10"/>
    </row>
    <row r="43" spans="2:11">
      <c r="B43" s="278" t="s">
        <v>544</v>
      </c>
      <c r="C43" s="112" t="s">
        <v>788</v>
      </c>
      <c r="D43" s="546"/>
      <c r="E43" s="546"/>
      <c r="F43" s="485">
        <f t="shared" si="1"/>
        <v>0</v>
      </c>
      <c r="H43" s="437"/>
      <c r="I43" s="117" t="str">
        <f t="shared" si="0"/>
        <v/>
      </c>
      <c r="K43" s="10"/>
    </row>
    <row r="44" spans="2:11" ht="16" thickBot="1">
      <c r="B44" s="523" t="s">
        <v>851</v>
      </c>
      <c r="C44" s="107" t="s">
        <v>939</v>
      </c>
      <c r="D44" s="546"/>
      <c r="E44" s="546"/>
      <c r="F44" s="487">
        <f t="shared" si="1"/>
        <v>0</v>
      </c>
      <c r="H44" s="438"/>
      <c r="I44" s="117" t="str">
        <f t="shared" si="0"/>
        <v/>
      </c>
      <c r="K44" s="10"/>
    </row>
    <row r="45" spans="2:11" ht="16" thickBot="1">
      <c r="B45" s="114" t="s">
        <v>550</v>
      </c>
      <c r="C45" s="105" t="s">
        <v>789</v>
      </c>
      <c r="D45" s="484">
        <f>SUM(D46:D52)</f>
        <v>0</v>
      </c>
      <c r="E45" s="484">
        <f>SUM(E46:E52)</f>
        <v>0</v>
      </c>
      <c r="F45" s="484">
        <f>SUM(F46:F52)</f>
        <v>0</v>
      </c>
      <c r="H45" s="493"/>
      <c r="I45" s="117" t="str">
        <f t="shared" si="0"/>
        <v/>
      </c>
    </row>
    <row r="46" spans="2:11">
      <c r="B46" s="278" t="s">
        <v>551</v>
      </c>
      <c r="C46" s="112" t="s">
        <v>790</v>
      </c>
      <c r="D46" s="546"/>
      <c r="E46" s="546"/>
      <c r="F46" s="545">
        <f t="shared" ref="F46:F52" si="2">+D46-E46</f>
        <v>0</v>
      </c>
      <c r="H46" s="439"/>
      <c r="I46" s="117" t="str">
        <f t="shared" si="0"/>
        <v/>
      </c>
      <c r="K46" s="10"/>
    </row>
    <row r="47" spans="2:11">
      <c r="B47" s="864" t="s">
        <v>885</v>
      </c>
      <c r="C47" s="112" t="s">
        <v>884</v>
      </c>
      <c r="D47" s="546"/>
      <c r="E47" s="546"/>
      <c r="F47" s="485">
        <f t="shared" si="2"/>
        <v>0</v>
      </c>
      <c r="H47" s="439"/>
      <c r="I47" s="117"/>
      <c r="K47" s="10"/>
    </row>
    <row r="48" spans="2:11">
      <c r="B48" s="278" t="s">
        <v>887</v>
      </c>
      <c r="C48" s="112" t="s">
        <v>791</v>
      </c>
      <c r="D48" s="546"/>
      <c r="E48" s="546"/>
      <c r="F48" s="485">
        <f t="shared" si="2"/>
        <v>0</v>
      </c>
      <c r="H48" s="439"/>
      <c r="I48" s="117" t="str">
        <f t="shared" si="0"/>
        <v/>
      </c>
      <c r="K48" s="10"/>
    </row>
    <row r="49" spans="2:11">
      <c r="B49" s="278" t="s">
        <v>838</v>
      </c>
      <c r="C49" s="112" t="s">
        <v>792</v>
      </c>
      <c r="D49" s="546"/>
      <c r="E49" s="546"/>
      <c r="F49" s="485">
        <f t="shared" si="2"/>
        <v>0</v>
      </c>
      <c r="H49" s="439"/>
      <c r="I49" s="117" t="str">
        <f t="shared" si="0"/>
        <v/>
      </c>
      <c r="K49" s="10"/>
    </row>
    <row r="50" spans="2:11">
      <c r="B50" s="278" t="s">
        <v>964</v>
      </c>
      <c r="C50" s="112" t="s">
        <v>793</v>
      </c>
      <c r="D50" s="546"/>
      <c r="E50" s="546"/>
      <c r="F50" s="485">
        <f t="shared" si="2"/>
        <v>0</v>
      </c>
      <c r="H50" s="439"/>
      <c r="I50" s="117" t="str">
        <f t="shared" si="0"/>
        <v/>
      </c>
      <c r="K50" s="10"/>
    </row>
    <row r="51" spans="2:11">
      <c r="B51" s="278" t="s">
        <v>557</v>
      </c>
      <c r="C51" s="112" t="s">
        <v>794</v>
      </c>
      <c r="D51" s="546"/>
      <c r="E51" s="546"/>
      <c r="F51" s="485">
        <f t="shared" si="2"/>
        <v>0</v>
      </c>
      <c r="H51" s="439"/>
      <c r="I51" s="117" t="str">
        <f t="shared" si="0"/>
        <v/>
      </c>
      <c r="K51" s="10"/>
    </row>
    <row r="52" spans="2:11" ht="16" thickBot="1">
      <c r="B52" s="523" t="s">
        <v>850</v>
      </c>
      <c r="C52" s="107" t="s">
        <v>795</v>
      </c>
      <c r="D52" s="546"/>
      <c r="E52" s="546"/>
      <c r="F52" s="487">
        <f t="shared" si="2"/>
        <v>0</v>
      </c>
      <c r="H52" s="438"/>
      <c r="I52" s="117" t="str">
        <f t="shared" si="0"/>
        <v/>
      </c>
      <c r="K52" s="10"/>
    </row>
    <row r="53" spans="2:11" ht="16" thickBot="1">
      <c r="B53" s="114" t="s">
        <v>721</v>
      </c>
      <c r="C53" s="105" t="s">
        <v>796</v>
      </c>
      <c r="D53" s="484">
        <f>SUM(D54:D60)</f>
        <v>0</v>
      </c>
      <c r="E53" s="484">
        <f>SUM(E54:E60)</f>
        <v>0</v>
      </c>
      <c r="F53" s="484">
        <f>SUM(F54:F60)</f>
        <v>0</v>
      </c>
      <c r="H53" s="493"/>
    </row>
    <row r="54" spans="2:11">
      <c r="B54" s="488" t="s">
        <v>812</v>
      </c>
      <c r="C54" s="112" t="s">
        <v>797</v>
      </c>
      <c r="D54" s="546"/>
      <c r="E54" s="546"/>
      <c r="F54" s="545">
        <f t="shared" ref="F54:F60" si="3">+D54-E54</f>
        <v>0</v>
      </c>
      <c r="H54" s="439"/>
      <c r="I54" s="117" t="str">
        <f t="shared" ref="I54:I59" si="4">IF(AND(ISNUMBER(D54), ISBLANK(E54)), "Error: Missing 0-6 amount", "")</f>
        <v/>
      </c>
      <c r="K54" s="10"/>
    </row>
    <row r="55" spans="2:11">
      <c r="B55" s="488" t="s">
        <v>813</v>
      </c>
      <c r="C55" s="112" t="s">
        <v>798</v>
      </c>
      <c r="D55" s="546"/>
      <c r="E55" s="546"/>
      <c r="F55" s="485">
        <f t="shared" si="3"/>
        <v>0</v>
      </c>
      <c r="H55" s="439"/>
      <c r="I55" s="117" t="str">
        <f t="shared" si="4"/>
        <v/>
      </c>
      <c r="K55" s="10"/>
    </row>
    <row r="56" spans="2:11">
      <c r="B56" s="489" t="s">
        <v>735</v>
      </c>
      <c r="C56" s="112" t="s">
        <v>799</v>
      </c>
      <c r="D56" s="546"/>
      <c r="E56" s="546"/>
      <c r="F56" s="485">
        <f t="shared" si="3"/>
        <v>0</v>
      </c>
      <c r="H56" s="439"/>
      <c r="I56" s="117" t="str">
        <f t="shared" si="4"/>
        <v/>
      </c>
      <c r="K56" s="10"/>
    </row>
    <row r="57" spans="2:11">
      <c r="B57" s="489" t="s">
        <v>814</v>
      </c>
      <c r="C57" s="112" t="s">
        <v>846</v>
      </c>
      <c r="D57" s="546"/>
      <c r="E57" s="546"/>
      <c r="F57" s="490">
        <f t="shared" si="3"/>
        <v>0</v>
      </c>
      <c r="H57" s="439"/>
      <c r="I57" s="117" t="str">
        <f t="shared" si="4"/>
        <v/>
      </c>
      <c r="K57" s="10"/>
    </row>
    <row r="58" spans="2:11">
      <c r="B58" s="489" t="s">
        <v>839</v>
      </c>
      <c r="C58" s="112" t="s">
        <v>847</v>
      </c>
      <c r="D58" s="546"/>
      <c r="E58" s="546"/>
      <c r="F58" s="490">
        <f t="shared" si="3"/>
        <v>0</v>
      </c>
      <c r="H58" s="439"/>
      <c r="I58" s="117" t="str">
        <f t="shared" si="4"/>
        <v/>
      </c>
      <c r="K58" s="10"/>
    </row>
    <row r="59" spans="2:11">
      <c r="B59" s="489" t="s">
        <v>840</v>
      </c>
      <c r="C59" s="112" t="s">
        <v>848</v>
      </c>
      <c r="D59" s="546"/>
      <c r="E59" s="546"/>
      <c r="F59" s="490">
        <f t="shared" si="3"/>
        <v>0</v>
      </c>
      <c r="H59" s="439"/>
      <c r="I59" s="117" t="str">
        <f t="shared" si="4"/>
        <v/>
      </c>
      <c r="K59" s="10"/>
    </row>
    <row r="60" spans="2:11" ht="16" thickBot="1">
      <c r="B60" s="522" t="s">
        <v>722</v>
      </c>
      <c r="C60" s="107" t="s">
        <v>849</v>
      </c>
      <c r="D60" s="546"/>
      <c r="E60" s="546"/>
      <c r="F60" s="487">
        <f t="shared" si="3"/>
        <v>0</v>
      </c>
      <c r="H60" s="438"/>
      <c r="I60" s="117" t="str">
        <f>IF(AND(ISNUMBER(D60), ISBLANK(E60)), "Error: Missing 0-6 amount", "")</f>
        <v/>
      </c>
      <c r="K60" s="10"/>
    </row>
    <row r="61" spans="2:11" s="12" customFormat="1" ht="16" thickBot="1">
      <c r="B61" s="14"/>
      <c r="C61" s="14"/>
      <c r="D61" s="14"/>
      <c r="E61" s="14"/>
      <c r="F61" s="14"/>
      <c r="G61" s="14"/>
      <c r="H61" s="491"/>
      <c r="K61" s="10"/>
    </row>
    <row r="62" spans="2:11" ht="16" thickBot="1">
      <c r="B62" s="492" t="s">
        <v>45</v>
      </c>
      <c r="C62" s="105">
        <v>421</v>
      </c>
      <c r="D62" s="484">
        <f>SUM(D63:D69)</f>
        <v>0</v>
      </c>
      <c r="E62" s="484">
        <f>SUM(E63:E69)</f>
        <v>0</v>
      </c>
      <c r="F62" s="484">
        <f>SUM(F63:F69)</f>
        <v>0</v>
      </c>
      <c r="H62" s="493"/>
      <c r="I62" s="494"/>
      <c r="K62" s="10"/>
    </row>
    <row r="63" spans="2:11">
      <c r="B63" s="26" t="s">
        <v>178</v>
      </c>
      <c r="C63" s="106" t="s">
        <v>46</v>
      </c>
      <c r="D63" s="546"/>
      <c r="E63" s="546"/>
      <c r="F63" s="545">
        <f t="shared" ref="F63:F69" si="5">+D63-E63</f>
        <v>0</v>
      </c>
      <c r="H63" s="440"/>
      <c r="I63" s="117" t="str">
        <f>IF(AND(ISNUMBER(D63), ISBLANK(E63)), "Error: Missing 0-6 amount", "")</f>
        <v/>
      </c>
      <c r="K63" s="10"/>
    </row>
    <row r="64" spans="2:11">
      <c r="B64" s="26" t="s">
        <v>179</v>
      </c>
      <c r="C64" s="106" t="s">
        <v>48</v>
      </c>
      <c r="D64" s="546"/>
      <c r="E64" s="546"/>
      <c r="F64" s="485">
        <f t="shared" si="5"/>
        <v>0</v>
      </c>
      <c r="H64" s="437"/>
      <c r="I64" s="117" t="str">
        <f t="shared" ref="I64:I69" si="6">IF(AND(ISNUMBER(D64), ISBLANK(E64)), "Error: Missing 0-6 amount", "")</f>
        <v/>
      </c>
      <c r="K64" s="10"/>
    </row>
    <row r="65" spans="2:11">
      <c r="B65" s="26" t="s">
        <v>180</v>
      </c>
      <c r="C65" s="106" t="s">
        <v>49</v>
      </c>
      <c r="D65" s="546"/>
      <c r="E65" s="546"/>
      <c r="F65" s="485">
        <f t="shared" si="5"/>
        <v>0</v>
      </c>
      <c r="H65" s="437"/>
      <c r="I65" s="117" t="str">
        <f t="shared" si="6"/>
        <v/>
      </c>
      <c r="K65" s="10"/>
    </row>
    <row r="66" spans="2:11">
      <c r="B66" s="26" t="s">
        <v>181</v>
      </c>
      <c r="C66" s="106" t="s">
        <v>50</v>
      </c>
      <c r="D66" s="546"/>
      <c r="E66" s="546"/>
      <c r="F66" s="485">
        <f t="shared" si="5"/>
        <v>0</v>
      </c>
      <c r="H66" s="437"/>
      <c r="I66" s="117" t="str">
        <f t="shared" si="6"/>
        <v/>
      </c>
      <c r="K66" s="10"/>
    </row>
    <row r="67" spans="2:11">
      <c r="B67" s="26" t="s">
        <v>182</v>
      </c>
      <c r="C67" s="106" t="s">
        <v>183</v>
      </c>
      <c r="D67" s="546"/>
      <c r="E67" s="546"/>
      <c r="F67" s="485">
        <f t="shared" si="5"/>
        <v>0</v>
      </c>
      <c r="H67" s="440"/>
      <c r="I67" s="117" t="str">
        <f t="shared" si="6"/>
        <v/>
      </c>
      <c r="K67" s="10"/>
    </row>
    <row r="68" spans="2:11">
      <c r="B68" s="26" t="s">
        <v>184</v>
      </c>
      <c r="C68" s="106" t="s">
        <v>51</v>
      </c>
      <c r="D68" s="546"/>
      <c r="E68" s="546"/>
      <c r="F68" s="485">
        <f t="shared" si="5"/>
        <v>0</v>
      </c>
      <c r="H68" s="437"/>
      <c r="I68" s="117" t="str">
        <f t="shared" si="6"/>
        <v/>
      </c>
      <c r="K68" s="10"/>
    </row>
    <row r="69" spans="2:11" ht="16" thickBot="1">
      <c r="B69" s="111" t="s">
        <v>177</v>
      </c>
      <c r="C69" s="107" t="s">
        <v>47</v>
      </c>
      <c r="D69" s="546"/>
      <c r="E69" s="546"/>
      <c r="F69" s="487">
        <f t="shared" si="5"/>
        <v>0</v>
      </c>
      <c r="H69" s="438"/>
      <c r="I69" s="117" t="str">
        <f t="shared" si="6"/>
        <v/>
      </c>
      <c r="K69" s="10"/>
    </row>
    <row r="70" spans="2:11" s="12" customFormat="1" ht="16" thickBot="1">
      <c r="B70" s="9"/>
      <c r="C70" s="9"/>
      <c r="D70" s="9"/>
      <c r="E70" s="9"/>
      <c r="F70" s="9"/>
      <c r="H70" s="495"/>
      <c r="K70" s="10"/>
    </row>
    <row r="71" spans="2:11" s="12" customFormat="1" ht="16" thickBot="1">
      <c r="B71" s="492" t="s">
        <v>52</v>
      </c>
      <c r="C71" s="105">
        <v>431</v>
      </c>
      <c r="D71" s="484">
        <f>SUM(D72:D74)</f>
        <v>0</v>
      </c>
      <c r="E71" s="484">
        <f>SUM(E72:E74)</f>
        <v>0</v>
      </c>
      <c r="F71" s="484">
        <f>SUM(F72:F74)</f>
        <v>0</v>
      </c>
      <c r="H71" s="496"/>
      <c r="K71" s="10"/>
    </row>
    <row r="72" spans="2:11" s="12" customFormat="1">
      <c r="B72" s="26" t="s">
        <v>185</v>
      </c>
      <c r="C72" s="106" t="s">
        <v>53</v>
      </c>
      <c r="D72" s="546"/>
      <c r="E72" s="546">
        <f>IFERROR(+D72*'A2.Allocation &amp; Operating Plan'!C$141,0)</f>
        <v>0</v>
      </c>
      <c r="F72" s="545">
        <f t="shared" ref="F72:F101" si="7">+D72-E72</f>
        <v>0</v>
      </c>
      <c r="G72" s="9"/>
      <c r="H72" s="437"/>
      <c r="K72" s="10"/>
    </row>
    <row r="73" spans="2:11">
      <c r="B73" s="26" t="s">
        <v>186</v>
      </c>
      <c r="C73" s="106" t="s">
        <v>54</v>
      </c>
      <c r="D73" s="546"/>
      <c r="E73" s="27">
        <f>IFERROR(+D73*'A2.Allocation &amp; Operating Plan'!C$141,0)</f>
        <v>0</v>
      </c>
      <c r="F73" s="485">
        <f t="shared" si="7"/>
        <v>0</v>
      </c>
      <c r="G73" s="12"/>
      <c r="H73" s="437"/>
      <c r="K73" s="10"/>
    </row>
    <row r="74" spans="2:11" s="12" customFormat="1" ht="16" thickBot="1">
      <c r="B74" s="111" t="s">
        <v>177</v>
      </c>
      <c r="C74" s="107" t="s">
        <v>187</v>
      </c>
      <c r="D74" s="546"/>
      <c r="E74" s="108">
        <f>IFERROR(+D74*'A2.Allocation &amp; Operating Plan'!C$141,0)</f>
        <v>0</v>
      </c>
      <c r="F74" s="487">
        <f t="shared" si="7"/>
        <v>0</v>
      </c>
      <c r="G74" s="9"/>
      <c r="H74" s="438"/>
      <c r="K74" s="10"/>
    </row>
    <row r="75" spans="2:11" ht="16" thickBot="1">
      <c r="G75" s="12"/>
      <c r="H75" s="495"/>
      <c r="K75" s="10"/>
    </row>
    <row r="76" spans="2:11" s="12" customFormat="1" ht="16" thickBot="1">
      <c r="B76" s="492" t="s">
        <v>55</v>
      </c>
      <c r="C76" s="105">
        <v>441</v>
      </c>
      <c r="D76" s="484">
        <f>SUM(D77:D78)</f>
        <v>0</v>
      </c>
      <c r="E76" s="484">
        <f>SUM(E77:E78)</f>
        <v>0</v>
      </c>
      <c r="F76" s="484">
        <f>SUM(F77:F78)</f>
        <v>0</v>
      </c>
      <c r="H76" s="496"/>
      <c r="K76" s="10"/>
    </row>
    <row r="77" spans="2:11" s="12" customFormat="1">
      <c r="B77" s="26" t="s">
        <v>188</v>
      </c>
      <c r="C77" s="106" t="s">
        <v>56</v>
      </c>
      <c r="D77" s="546"/>
      <c r="E77" s="546">
        <f>IFERROR(+D77*'A2.Allocation &amp; Operating Plan'!C$141,0)</f>
        <v>0</v>
      </c>
      <c r="F77" s="545">
        <f t="shared" si="7"/>
        <v>0</v>
      </c>
      <c r="G77" s="9"/>
      <c r="H77" s="437"/>
      <c r="K77" s="10"/>
    </row>
    <row r="78" spans="2:11" s="12" customFormat="1" ht="16" thickBot="1">
      <c r="B78" s="111" t="s">
        <v>177</v>
      </c>
      <c r="C78" s="107" t="s">
        <v>189</v>
      </c>
      <c r="D78" s="546"/>
      <c r="E78" s="108">
        <f>IFERROR(+D78*'A2.Allocation &amp; Operating Plan'!C$141,0)</f>
        <v>0</v>
      </c>
      <c r="F78" s="487">
        <f t="shared" si="7"/>
        <v>0</v>
      </c>
      <c r="G78" s="9"/>
      <c r="H78" s="438"/>
      <c r="K78" s="10"/>
    </row>
    <row r="79" spans="2:11" ht="15.75" customHeight="1" thickBot="1">
      <c r="H79" s="495"/>
      <c r="K79" s="10"/>
    </row>
    <row r="80" spans="2:11" ht="15" customHeight="1" thickBot="1">
      <c r="B80" s="492" t="s">
        <v>57</v>
      </c>
      <c r="C80" s="105">
        <v>451</v>
      </c>
      <c r="D80" s="484">
        <f>SUM(D81:D101)</f>
        <v>0</v>
      </c>
      <c r="E80" s="484">
        <f>SUM(E81:E101)</f>
        <v>0</v>
      </c>
      <c r="F80" s="484">
        <f>SUM(F81:F101)</f>
        <v>0</v>
      </c>
      <c r="H80" s="496"/>
      <c r="K80" s="10"/>
    </row>
    <row r="81" spans="2:11" ht="14.5" customHeight="1">
      <c r="B81" s="26" t="s">
        <v>190</v>
      </c>
      <c r="C81" s="106" t="s">
        <v>58</v>
      </c>
      <c r="D81" s="546"/>
      <c r="E81" s="546">
        <f>IFERROR(+D81*'A2.Allocation &amp; Operating Plan'!C$141,0)</f>
        <v>0</v>
      </c>
      <c r="F81" s="545">
        <f t="shared" si="7"/>
        <v>0</v>
      </c>
      <c r="H81" s="437"/>
      <c r="K81" s="10"/>
    </row>
    <row r="82" spans="2:11" ht="14.5" customHeight="1">
      <c r="B82" s="497" t="s">
        <v>821</v>
      </c>
      <c r="C82" s="106" t="s">
        <v>59</v>
      </c>
      <c r="D82" s="546"/>
      <c r="E82" s="27">
        <f>IFERROR(+D82*'A2.Allocation &amp; Operating Plan'!C$141,0)</f>
        <v>0</v>
      </c>
      <c r="F82" s="485">
        <f t="shared" si="7"/>
        <v>0</v>
      </c>
      <c r="H82" s="437"/>
      <c r="K82" s="10"/>
    </row>
    <row r="83" spans="2:11" ht="14.5" customHeight="1">
      <c r="B83" s="497" t="s">
        <v>822</v>
      </c>
      <c r="C83" s="106" t="s">
        <v>409</v>
      </c>
      <c r="D83" s="546"/>
      <c r="E83" s="27">
        <f>IFERROR(+D83*'A2.Allocation &amp; Operating Plan'!C$141,0)</f>
        <v>0</v>
      </c>
      <c r="F83" s="485">
        <f t="shared" si="7"/>
        <v>0</v>
      </c>
      <c r="H83" s="437"/>
      <c r="K83" s="10"/>
    </row>
    <row r="84" spans="2:11">
      <c r="B84" s="26" t="s">
        <v>191</v>
      </c>
      <c r="C84" s="106" t="s">
        <v>60</v>
      </c>
      <c r="D84" s="546"/>
      <c r="E84" s="27">
        <f>IFERROR(+D84*'A2.Allocation &amp; Operating Plan'!C$141,0)</f>
        <v>0</v>
      </c>
      <c r="F84" s="485">
        <f t="shared" si="7"/>
        <v>0</v>
      </c>
      <c r="H84" s="437"/>
      <c r="K84" s="10"/>
    </row>
    <row r="85" spans="2:11">
      <c r="B85" s="26" t="s">
        <v>192</v>
      </c>
      <c r="C85" s="106" t="s">
        <v>61</v>
      </c>
      <c r="D85" s="546"/>
      <c r="E85" s="27">
        <f>IFERROR(+D85*'A2.Allocation &amp; Operating Plan'!C$141,0)</f>
        <v>0</v>
      </c>
      <c r="F85" s="485">
        <f>+D85-E85</f>
        <v>0</v>
      </c>
      <c r="H85" s="437"/>
      <c r="K85" s="10"/>
    </row>
    <row r="86" spans="2:11">
      <c r="B86" s="26" t="s">
        <v>193</v>
      </c>
      <c r="C86" s="106" t="s">
        <v>62</v>
      </c>
      <c r="D86" s="546"/>
      <c r="E86" s="27">
        <f>IFERROR(+D86*'A2.Allocation &amp; Operating Plan'!C$141,0)</f>
        <v>0</v>
      </c>
      <c r="F86" s="485">
        <f>+D86-E86</f>
        <v>0</v>
      </c>
      <c r="H86" s="437"/>
      <c r="K86" s="10"/>
    </row>
    <row r="87" spans="2:11">
      <c r="B87" s="26" t="s">
        <v>240</v>
      </c>
      <c r="C87" s="106" t="s">
        <v>63</v>
      </c>
      <c r="D87" s="546"/>
      <c r="E87" s="27">
        <f>IFERROR(+D87*'A2.Allocation &amp; Operating Plan'!C$141,0)</f>
        <v>0</v>
      </c>
      <c r="F87" s="485">
        <f t="shared" si="7"/>
        <v>0</v>
      </c>
      <c r="H87" s="437"/>
      <c r="K87" s="10"/>
    </row>
    <row r="88" spans="2:11">
      <c r="B88" s="26" t="s">
        <v>194</v>
      </c>
      <c r="C88" s="106" t="s">
        <v>64</v>
      </c>
      <c r="D88" s="546"/>
      <c r="E88" s="27">
        <f>IFERROR(+D88*'A2.Allocation &amp; Operating Plan'!C$141,0)</f>
        <v>0</v>
      </c>
      <c r="F88" s="485">
        <f t="shared" si="7"/>
        <v>0</v>
      </c>
      <c r="H88" s="437"/>
      <c r="K88" s="10"/>
    </row>
    <row r="89" spans="2:11">
      <c r="B89" s="20" t="s">
        <v>723</v>
      </c>
      <c r="C89" s="106" t="s">
        <v>65</v>
      </c>
      <c r="D89" s="546"/>
      <c r="E89" s="27">
        <f>IFERROR(+D89*'A2.Allocation &amp; Operating Plan'!C$141,0)</f>
        <v>0</v>
      </c>
      <c r="F89" s="485">
        <f t="shared" si="7"/>
        <v>0</v>
      </c>
      <c r="H89" s="437"/>
      <c r="K89" s="10"/>
    </row>
    <row r="90" spans="2:11">
      <c r="B90" s="20" t="s">
        <v>195</v>
      </c>
      <c r="C90" s="106" t="s">
        <v>66</v>
      </c>
      <c r="D90" s="546"/>
      <c r="E90" s="27">
        <f>IFERROR(+D90*'A2.Allocation &amp; Operating Plan'!C$141,0)</f>
        <v>0</v>
      </c>
      <c r="F90" s="485">
        <f t="shared" si="7"/>
        <v>0</v>
      </c>
      <c r="H90" s="437"/>
      <c r="K90" s="10"/>
    </row>
    <row r="91" spans="2:11">
      <c r="B91" s="26" t="s">
        <v>196</v>
      </c>
      <c r="C91" s="106" t="s">
        <v>67</v>
      </c>
      <c r="D91" s="546"/>
      <c r="E91" s="27">
        <f>IFERROR(+D91*'A2.Allocation &amp; Operating Plan'!C$141,0)</f>
        <v>0</v>
      </c>
      <c r="F91" s="485">
        <f t="shared" si="7"/>
        <v>0</v>
      </c>
      <c r="H91" s="437"/>
      <c r="K91" s="10"/>
    </row>
    <row r="92" spans="2:11">
      <c r="B92" s="26" t="s">
        <v>197</v>
      </c>
      <c r="C92" s="106" t="s">
        <v>68</v>
      </c>
      <c r="D92" s="546"/>
      <c r="E92" s="27">
        <f>IFERROR(+D92*'A2.Allocation &amp; Operating Plan'!C$141,0)</f>
        <v>0</v>
      </c>
      <c r="F92" s="485">
        <f t="shared" si="7"/>
        <v>0</v>
      </c>
      <c r="H92" s="437"/>
      <c r="K92" s="10"/>
    </row>
    <row r="93" spans="2:11">
      <c r="B93" s="26" t="s">
        <v>198</v>
      </c>
      <c r="C93" s="106" t="s">
        <v>69</v>
      </c>
      <c r="D93" s="546"/>
      <c r="E93" s="27">
        <f>IFERROR(+D93*'A2.Allocation &amp; Operating Plan'!C$141,0)</f>
        <v>0</v>
      </c>
      <c r="F93" s="485">
        <f t="shared" si="7"/>
        <v>0</v>
      </c>
      <c r="G93" s="12"/>
      <c r="H93" s="437"/>
      <c r="K93" s="10"/>
    </row>
    <row r="94" spans="2:11" s="12" customFormat="1">
      <c r="B94" s="26" t="s">
        <v>199</v>
      </c>
      <c r="C94" s="106" t="s">
        <v>70</v>
      </c>
      <c r="D94" s="546"/>
      <c r="E94" s="27">
        <f>IFERROR(+D94*'A2.Allocation &amp; Operating Plan'!C$141,0)</f>
        <v>0</v>
      </c>
      <c r="F94" s="485">
        <f t="shared" si="7"/>
        <v>0</v>
      </c>
      <c r="G94" s="9"/>
      <c r="H94" s="437"/>
      <c r="K94" s="10"/>
    </row>
    <row r="95" spans="2:11" s="12" customFormat="1">
      <c r="B95" s="20" t="s">
        <v>467</v>
      </c>
      <c r="C95" s="106" t="s">
        <v>466</v>
      </c>
      <c r="D95" s="546"/>
      <c r="E95" s="27">
        <f>IFERROR(+D95*'A2.Allocation &amp; Operating Plan'!C$141,0)</f>
        <v>0</v>
      </c>
      <c r="F95" s="485">
        <f t="shared" si="7"/>
        <v>0</v>
      </c>
      <c r="G95" s="9"/>
      <c r="H95" s="437"/>
      <c r="K95" s="10"/>
    </row>
    <row r="96" spans="2:11">
      <c r="B96" s="26" t="s">
        <v>200</v>
      </c>
      <c r="C96" s="106" t="s">
        <v>71</v>
      </c>
      <c r="D96" s="546"/>
      <c r="E96" s="27">
        <f>IFERROR(+D96*'A2.Allocation &amp; Operating Plan'!C$141,0)</f>
        <v>0</v>
      </c>
      <c r="F96" s="485">
        <f t="shared" si="7"/>
        <v>0</v>
      </c>
      <c r="H96" s="437"/>
      <c r="K96" s="10"/>
    </row>
    <row r="97" spans="2:11">
      <c r="B97" s="20" t="s">
        <v>201</v>
      </c>
      <c r="C97" s="106" t="s">
        <v>72</v>
      </c>
      <c r="D97" s="546"/>
      <c r="E97" s="27">
        <f>IFERROR(+D97*'A2.Allocation &amp; Operating Plan'!C$141,0)</f>
        <v>0</v>
      </c>
      <c r="F97" s="485">
        <f t="shared" si="7"/>
        <v>0</v>
      </c>
      <c r="H97" s="437"/>
      <c r="K97" s="10"/>
    </row>
    <row r="98" spans="2:11">
      <c r="B98" s="20" t="s">
        <v>468</v>
      </c>
      <c r="C98" s="106" t="s">
        <v>410</v>
      </c>
      <c r="D98" s="546"/>
      <c r="E98" s="27">
        <f>IFERROR(+D98*'A2.Allocation &amp; Operating Plan'!C$141,0)</f>
        <v>0</v>
      </c>
      <c r="F98" s="485">
        <f>+D98-E98</f>
        <v>0</v>
      </c>
      <c r="H98" s="437"/>
      <c r="K98" s="10"/>
    </row>
    <row r="99" spans="2:11" s="12" customFormat="1">
      <c r="B99" s="524" t="s">
        <v>177</v>
      </c>
      <c r="C99" s="106" t="s">
        <v>86</v>
      </c>
      <c r="D99" s="546"/>
      <c r="E99" s="27">
        <f>IFERROR(+D99*'A2.Allocation &amp; Operating Plan'!C$141,0)</f>
        <v>0</v>
      </c>
      <c r="F99" s="485">
        <f t="shared" si="7"/>
        <v>0</v>
      </c>
      <c r="G99" s="9"/>
      <c r="H99" s="437"/>
      <c r="K99" s="10"/>
    </row>
    <row r="100" spans="2:11" s="12" customFormat="1">
      <c r="B100" s="524" t="s">
        <v>177</v>
      </c>
      <c r="C100" s="106" t="s">
        <v>854</v>
      </c>
      <c r="D100" s="546"/>
      <c r="E100" s="27">
        <f>IFERROR(+D100*'A2.Allocation &amp; Operating Plan'!C$141,0)</f>
        <v>0</v>
      </c>
      <c r="F100" s="485">
        <f t="shared" si="7"/>
        <v>0</v>
      </c>
      <c r="G100" s="9"/>
      <c r="H100" s="437"/>
      <c r="K100" s="10"/>
    </row>
    <row r="101" spans="2:11" ht="16" thickBot="1">
      <c r="B101" s="111" t="s">
        <v>177</v>
      </c>
      <c r="C101" s="107" t="s">
        <v>853</v>
      </c>
      <c r="D101" s="546"/>
      <c r="E101" s="108">
        <f>IFERROR(+D101*'A2.Allocation &amp; Operating Plan'!C$141,0)</f>
        <v>0</v>
      </c>
      <c r="F101" s="487">
        <f t="shared" si="7"/>
        <v>0</v>
      </c>
      <c r="H101" s="438"/>
      <c r="K101" s="10"/>
    </row>
    <row r="102" spans="2:11" ht="16" thickBot="1">
      <c r="G102" s="12"/>
      <c r="H102" s="495"/>
      <c r="K102" s="10"/>
    </row>
    <row r="103" spans="2:11" s="12" customFormat="1" ht="16" thickBot="1">
      <c r="B103" s="492" t="s">
        <v>139</v>
      </c>
      <c r="C103" s="105">
        <v>461</v>
      </c>
      <c r="D103" s="484">
        <f>SUM(D104:D108)</f>
        <v>0</v>
      </c>
      <c r="E103" s="484">
        <f>SUM(E104:E108)</f>
        <v>0</v>
      </c>
      <c r="F103" s="484">
        <f>SUM(F104:F108)</f>
        <v>0</v>
      </c>
      <c r="H103" s="496"/>
      <c r="K103" s="10"/>
    </row>
    <row r="104" spans="2:11" s="12" customFormat="1" hidden="1">
      <c r="B104" s="26" t="s">
        <v>202</v>
      </c>
      <c r="C104" s="106" t="s">
        <v>73</v>
      </c>
      <c r="D104" s="547"/>
      <c r="E104" s="547"/>
      <c r="F104" s="545">
        <f>+D104-E104</f>
        <v>0</v>
      </c>
      <c r="H104" s="486"/>
      <c r="K104" s="10"/>
    </row>
    <row r="105" spans="2:11" s="12" customFormat="1">
      <c r="B105" s="26" t="s">
        <v>203</v>
      </c>
      <c r="C105" s="106" t="s">
        <v>74</v>
      </c>
      <c r="D105" s="546"/>
      <c r="E105" s="546">
        <f>IFERROR(+D105*'A2.Allocation &amp; Operating Plan'!C$141,0)</f>
        <v>0</v>
      </c>
      <c r="F105" s="485">
        <f>+D105-E105</f>
        <v>0</v>
      </c>
      <c r="H105" s="437"/>
      <c r="K105" s="10"/>
    </row>
    <row r="106" spans="2:11" s="12" customFormat="1">
      <c r="B106" s="26" t="s">
        <v>204</v>
      </c>
      <c r="C106" s="106" t="s">
        <v>75</v>
      </c>
      <c r="D106" s="546"/>
      <c r="E106" s="546">
        <f>IFERROR(+D106*'A2.Allocation &amp; Operating Plan'!C$141,0)</f>
        <v>0</v>
      </c>
      <c r="F106" s="485">
        <f>+D106-E106</f>
        <v>0</v>
      </c>
      <c r="H106" s="437"/>
      <c r="K106" s="10"/>
    </row>
    <row r="107" spans="2:11" s="12" customFormat="1">
      <c r="B107" s="26" t="s">
        <v>205</v>
      </c>
      <c r="C107" s="106" t="s">
        <v>411</v>
      </c>
      <c r="D107" s="546"/>
      <c r="E107" s="546">
        <f>IFERROR(+D107*'A2.Allocation &amp; Operating Plan'!C$141,0)</f>
        <v>0</v>
      </c>
      <c r="F107" s="485">
        <f>+D107-E107</f>
        <v>0</v>
      </c>
      <c r="H107" s="437"/>
      <c r="K107" s="10"/>
    </row>
    <row r="108" spans="2:11" s="12" customFormat="1" ht="16" thickBot="1">
      <c r="B108" s="111" t="s">
        <v>177</v>
      </c>
      <c r="C108" s="107" t="s">
        <v>412</v>
      </c>
      <c r="D108" s="546"/>
      <c r="E108" s="546">
        <f>IFERROR(+D108*'A2.Allocation &amp; Operating Plan'!C$141,0)</f>
        <v>0</v>
      </c>
      <c r="F108" s="487">
        <f>+D108-E108</f>
        <v>0</v>
      </c>
      <c r="H108" s="438"/>
      <c r="K108" s="10"/>
    </row>
    <row r="109" spans="2:11" ht="16" thickBot="1">
      <c r="C109" s="12"/>
      <c r="D109" s="12"/>
      <c r="E109" s="498"/>
      <c r="F109" s="498"/>
      <c r="G109" s="12"/>
      <c r="H109" s="10"/>
    </row>
    <row r="110" spans="2:11" ht="16" thickBot="1">
      <c r="B110" s="492" t="s">
        <v>459</v>
      </c>
      <c r="C110" s="105">
        <v>465</v>
      </c>
      <c r="D110" s="484">
        <f>SUM(D111)</f>
        <v>0</v>
      </c>
      <c r="E110" s="484">
        <f>SUM(E111)</f>
        <v>0</v>
      </c>
      <c r="F110" s="484">
        <f>SUM(F111)</f>
        <v>0</v>
      </c>
    </row>
    <row r="111" spans="2:11" ht="16" thickBot="1">
      <c r="B111" s="499" t="s">
        <v>354</v>
      </c>
      <c r="C111" s="500" t="s">
        <v>861</v>
      </c>
      <c r="D111" s="484">
        <f>'A3. Peel Region Grants'!H117</f>
        <v>0</v>
      </c>
      <c r="E111" s="484">
        <f>D111</f>
        <v>0</v>
      </c>
      <c r="F111" s="551">
        <f>D111-E111</f>
        <v>0</v>
      </c>
      <c r="H111" s="555" t="s">
        <v>881</v>
      </c>
      <c r="I111" s="14"/>
      <c r="J111" s="14"/>
      <c r="K111" s="14"/>
    </row>
    <row r="112" spans="2:11" ht="16" thickBot="1">
      <c r="C112" s="12"/>
      <c r="D112" s="12"/>
      <c r="E112" s="498"/>
      <c r="F112" s="498"/>
      <c r="G112" s="12"/>
      <c r="H112" s="10"/>
    </row>
    <row r="113" spans="2:8" s="12" customFormat="1" ht="16" thickBot="1">
      <c r="B113" s="501" t="s">
        <v>76</v>
      </c>
      <c r="C113" s="105">
        <v>471</v>
      </c>
      <c r="D113" s="484">
        <f>SUM(D114:D116)</f>
        <v>0</v>
      </c>
      <c r="E113" s="484">
        <f>SUM(E114:E116)</f>
        <v>0</v>
      </c>
      <c r="F113" s="484"/>
      <c r="H113" s="9"/>
    </row>
    <row r="114" spans="2:8" s="12" customFormat="1">
      <c r="B114" s="102" t="s">
        <v>44</v>
      </c>
      <c r="C114" s="106" t="s">
        <v>413</v>
      </c>
      <c r="D114" s="546"/>
      <c r="E114" s="552">
        <f>D114</f>
        <v>0</v>
      </c>
      <c r="F114" s="553"/>
      <c r="H114" s="9"/>
    </row>
    <row r="115" spans="2:8" s="12" customFormat="1">
      <c r="B115" s="102" t="s">
        <v>44</v>
      </c>
      <c r="C115" s="106" t="s">
        <v>414</v>
      </c>
      <c r="D115" s="546"/>
      <c r="E115" s="468">
        <f>D115</f>
        <v>0</v>
      </c>
      <c r="F115" s="466"/>
      <c r="H115" s="9"/>
    </row>
    <row r="116" spans="2:8" s="12" customFormat="1" ht="16" thickBot="1">
      <c r="B116" s="113" t="s">
        <v>44</v>
      </c>
      <c r="C116" s="107" t="s">
        <v>415</v>
      </c>
      <c r="D116" s="546"/>
      <c r="E116" s="502">
        <f>D116</f>
        <v>0</v>
      </c>
      <c r="F116" s="503"/>
      <c r="H116" s="10"/>
    </row>
    <row r="117" spans="2:8" s="12" customFormat="1" ht="16" thickBot="1">
      <c r="B117" s="9"/>
      <c r="C117" s="9"/>
      <c r="D117" s="9"/>
      <c r="E117" s="9"/>
      <c r="F117" s="9"/>
      <c r="H117" s="9"/>
    </row>
    <row r="118" spans="2:8" s="12" customFormat="1" ht="16" thickBot="1">
      <c r="B118" s="501" t="s">
        <v>810</v>
      </c>
      <c r="C118" s="105">
        <v>481</v>
      </c>
      <c r="D118" s="484">
        <f>SUM(D119:D121)</f>
        <v>0</v>
      </c>
      <c r="E118" s="484">
        <f>SUM(E119:E121)</f>
        <v>0</v>
      </c>
      <c r="F118" s="484"/>
      <c r="H118" s="9"/>
    </row>
    <row r="119" spans="2:8" s="12" customFormat="1">
      <c r="B119" s="102" t="s">
        <v>44</v>
      </c>
      <c r="C119" s="106" t="s">
        <v>416</v>
      </c>
      <c r="D119" s="546"/>
      <c r="E119" s="552">
        <f>D119</f>
        <v>0</v>
      </c>
      <c r="F119" s="553"/>
      <c r="H119" s="9"/>
    </row>
    <row r="120" spans="2:8" s="12" customFormat="1">
      <c r="B120" s="102" t="s">
        <v>44</v>
      </c>
      <c r="C120" s="106" t="s">
        <v>417</v>
      </c>
      <c r="D120" s="546"/>
      <c r="E120" s="468">
        <f>D120</f>
        <v>0</v>
      </c>
      <c r="F120" s="466"/>
      <c r="H120" s="9"/>
    </row>
    <row r="121" spans="2:8" s="12" customFormat="1" ht="16" thickBot="1">
      <c r="B121" s="113" t="s">
        <v>44</v>
      </c>
      <c r="C121" s="107" t="s">
        <v>418</v>
      </c>
      <c r="D121" s="546"/>
      <c r="E121" s="502">
        <f>D121</f>
        <v>0</v>
      </c>
      <c r="F121" s="503"/>
      <c r="H121" s="9"/>
    </row>
    <row r="122" spans="2:8" s="12" customFormat="1" ht="16" thickBot="1">
      <c r="B122" s="9"/>
      <c r="C122" s="9"/>
      <c r="D122" s="9"/>
      <c r="E122" s="9"/>
      <c r="F122" s="9"/>
      <c r="H122" s="9"/>
    </row>
    <row r="123" spans="2:8" ht="16" thickBot="1">
      <c r="B123" s="504" t="s">
        <v>206</v>
      </c>
      <c r="C123" s="505">
        <v>490</v>
      </c>
      <c r="D123" s="506">
        <f>+D80+D71+D62+D35+D76+D113+D118+D110+D103</f>
        <v>0</v>
      </c>
      <c r="E123" s="506">
        <f>+E80+E71+E62+E35+E76+E113+E118+E110+E103</f>
        <v>0</v>
      </c>
      <c r="F123" s="507">
        <f>+F80+F71+F62+F35+F76+F110+F103</f>
        <v>0</v>
      </c>
      <c r="H123" s="77"/>
    </row>
    <row r="124" spans="2:8" ht="16" thickBot="1"/>
    <row r="125" spans="2:8" ht="16" thickBot="1">
      <c r="B125" s="504" t="s">
        <v>207</v>
      </c>
      <c r="C125" s="508" t="s">
        <v>167</v>
      </c>
      <c r="D125" s="509">
        <f>+D30-D123</f>
        <v>0</v>
      </c>
      <c r="E125" s="509">
        <f>+E30-E123</f>
        <v>0</v>
      </c>
      <c r="F125" s="510">
        <f>+F30-F123</f>
        <v>0</v>
      </c>
      <c r="H125" s="12"/>
    </row>
    <row r="126" spans="2:8">
      <c r="B126" s="511"/>
      <c r="D126" s="512"/>
      <c r="E126" s="512"/>
      <c r="F126" s="512"/>
      <c r="H126" s="12"/>
    </row>
    <row r="127" spans="2:8">
      <c r="H127" s="12"/>
    </row>
    <row r="128" spans="2:8">
      <c r="H128" s="12"/>
    </row>
    <row r="129" spans="2:13" ht="24" hidden="1" thickBot="1">
      <c r="B129" s="1196" t="str">
        <f>IF('A1. Identification'!B6=0, " ", "CWELCC Reconciliation of "&amp; 'A2.Allocation &amp; Operating Plan'!$C$125)</f>
        <v xml:space="preserve">CWELCC Reconciliation of  </v>
      </c>
      <c r="C129" s="1197"/>
      <c r="D129" s="1197"/>
      <c r="E129" s="1197"/>
    </row>
    <row r="130" spans="2:13" ht="24" hidden="1" thickBot="1">
      <c r="B130" s="557"/>
      <c r="C130" s="557"/>
      <c r="D130" s="557"/>
      <c r="E130" s="557"/>
    </row>
    <row r="131" spans="2:13" ht="42.5" hidden="1" outlineLevel="1" thickBot="1">
      <c r="B131" s="1198" t="s">
        <v>357</v>
      </c>
      <c r="C131" s="1199"/>
      <c r="D131" s="559" t="s">
        <v>23</v>
      </c>
      <c r="E131" s="998"/>
    </row>
    <row r="132" spans="2:13" hidden="1" outlineLevel="1">
      <c r="B132" s="1200" t="s">
        <v>33</v>
      </c>
      <c r="C132" s="1200"/>
      <c r="D132" s="876">
        <f>'A2.Allocation &amp; Operating Plan'!I20</f>
        <v>0</v>
      </c>
      <c r="E132" s="556"/>
      <c r="F132" s="14"/>
      <c r="G132" s="14"/>
      <c r="H132" s="14"/>
    </row>
    <row r="133" spans="2:13" hidden="1" outlineLevel="1">
      <c r="B133" s="1201" t="s">
        <v>237</v>
      </c>
      <c r="C133" s="1201"/>
      <c r="D133" s="561">
        <f>'A2.Allocation &amp; Operating Plan'!I23</f>
        <v>0</v>
      </c>
      <c r="E133" s="556"/>
      <c r="F133" s="14"/>
      <c r="G133" s="14"/>
      <c r="H133" s="14"/>
    </row>
    <row r="134" spans="2:13" ht="30" hidden="1" outlineLevel="1">
      <c r="B134" s="1178" t="s">
        <v>87</v>
      </c>
      <c r="C134" s="1179"/>
      <c r="D134" s="564">
        <f>D132+D133</f>
        <v>0</v>
      </c>
      <c r="E134" s="556"/>
      <c r="F134" s="14"/>
      <c r="G134" s="514"/>
      <c r="H134" s="515"/>
      <c r="I134" s="514"/>
      <c r="J134" s="514"/>
      <c r="K134" s="516"/>
      <c r="L134" s="14"/>
      <c r="M134" s="14"/>
    </row>
    <row r="135" spans="2:13" ht="29.5" hidden="1" outlineLevel="1">
      <c r="B135" s="565" t="s">
        <v>390</v>
      </c>
      <c r="C135" s="563"/>
      <c r="D135" s="564"/>
      <c r="E135" s="556"/>
      <c r="F135" s="14"/>
      <c r="G135" s="517"/>
      <c r="H135" s="518"/>
      <c r="I135" s="517"/>
      <c r="J135" s="517"/>
      <c r="K135" s="519"/>
      <c r="L135" s="14"/>
      <c r="M135" s="14"/>
    </row>
    <row r="136" spans="2:13" ht="29.5" hidden="1" outlineLevel="1">
      <c r="B136" s="1204" t="s">
        <v>358</v>
      </c>
      <c r="C136" s="1204"/>
      <c r="D136" s="877">
        <f>-E20</f>
        <v>0</v>
      </c>
      <c r="E136" s="558"/>
      <c r="F136" s="14"/>
      <c r="G136" s="517"/>
      <c r="H136" s="518"/>
      <c r="I136" s="517"/>
      <c r="J136" s="517"/>
      <c r="K136" s="519"/>
      <c r="L136" s="14"/>
      <c r="M136" s="14"/>
    </row>
    <row r="137" spans="2:13" ht="29.5" hidden="1" outlineLevel="1">
      <c r="B137" s="1204" t="s">
        <v>359</v>
      </c>
      <c r="C137" s="1204"/>
      <c r="D137" s="566"/>
      <c r="E137" s="558"/>
      <c r="F137" s="14"/>
      <c r="G137" s="517"/>
      <c r="H137" s="518"/>
      <c r="I137" s="517"/>
      <c r="J137" s="517"/>
      <c r="K137" s="519"/>
      <c r="L137" s="14"/>
      <c r="M137" s="14"/>
    </row>
    <row r="138" spans="2:13" ht="29.5" hidden="1" outlineLevel="1">
      <c r="B138" s="1205" t="s">
        <v>360</v>
      </c>
      <c r="C138" s="1206"/>
      <c r="D138" s="878">
        <f>-E21</f>
        <v>0</v>
      </c>
      <c r="E138" s="558"/>
      <c r="F138" s="14"/>
      <c r="G138" s="517"/>
      <c r="H138" s="518"/>
      <c r="I138" s="517"/>
      <c r="J138" s="517"/>
      <c r="K138" s="519"/>
      <c r="L138" s="14"/>
      <c r="M138" s="14"/>
    </row>
    <row r="139" spans="2:13" ht="29.5" hidden="1" outlineLevel="1">
      <c r="B139" s="1178" t="s">
        <v>438</v>
      </c>
      <c r="C139" s="1179"/>
      <c r="D139" s="568">
        <f>D137+D138+D136</f>
        <v>0</v>
      </c>
      <c r="E139" s="558"/>
      <c r="F139" s="14"/>
      <c r="G139" s="517"/>
      <c r="H139" s="518"/>
      <c r="I139" s="517"/>
      <c r="J139" s="517"/>
      <c r="K139" s="519"/>
      <c r="L139" s="14"/>
      <c r="M139" s="14"/>
    </row>
    <row r="140" spans="2:13" ht="29.5" hidden="1" outlineLevel="1">
      <c r="B140" s="562"/>
      <c r="C140" s="563"/>
      <c r="D140" s="569"/>
      <c r="E140" s="558"/>
      <c r="F140" s="14"/>
      <c r="G140" s="517"/>
      <c r="H140" s="518"/>
      <c r="I140" s="517"/>
      <c r="J140" s="517"/>
      <c r="K140" s="519"/>
      <c r="L140" s="14"/>
      <c r="M140" s="14"/>
    </row>
    <row r="141" spans="2:13" ht="29.5" hidden="1" outlineLevel="1">
      <c r="B141" s="1207" t="s">
        <v>380</v>
      </c>
      <c r="C141" s="1207"/>
      <c r="D141" s="570">
        <f>D134+D139</f>
        <v>0</v>
      </c>
      <c r="E141" s="557"/>
      <c r="F141" s="14"/>
      <c r="G141" s="517"/>
      <c r="H141" s="518"/>
      <c r="I141" s="517"/>
      <c r="J141" s="517"/>
      <c r="K141" s="519"/>
      <c r="L141" s="14"/>
      <c r="M141" s="14"/>
    </row>
    <row r="142" spans="2:13" ht="29.5" hidden="1" outlineLevel="1">
      <c r="B142" s="571"/>
      <c r="C142" s="571"/>
      <c r="D142" s="572"/>
      <c r="E142" s="557"/>
      <c r="F142" s="14"/>
      <c r="G142" s="517"/>
      <c r="H142" s="518"/>
      <c r="I142" s="517"/>
      <c r="J142" s="517"/>
      <c r="K142" s="519"/>
      <c r="L142" s="14"/>
      <c r="M142" s="14"/>
    </row>
    <row r="143" spans="2:13" ht="29.5" hidden="1" outlineLevel="1">
      <c r="B143" s="573" t="s">
        <v>39</v>
      </c>
      <c r="C143" s="574" t="s">
        <v>90</v>
      </c>
      <c r="D143" s="575" t="s">
        <v>344</v>
      </c>
      <c r="E143"/>
      <c r="F143" s="14"/>
      <c r="G143" s="517"/>
      <c r="H143" s="518"/>
      <c r="I143" s="517"/>
      <c r="J143" s="517"/>
      <c r="K143" s="519"/>
      <c r="L143" s="14"/>
      <c r="M143" s="14"/>
    </row>
    <row r="144" spans="2:13" ht="29.5" hidden="1" outlineLevel="1">
      <c r="B144" s="536" t="s">
        <v>485</v>
      </c>
      <c r="C144" s="537"/>
      <c r="D144" s="879">
        <f>E123</f>
        <v>0</v>
      </c>
      <c r="E144"/>
      <c r="F144" s="14"/>
      <c r="G144" s="517"/>
      <c r="H144" s="518"/>
      <c r="I144" s="517"/>
      <c r="J144" s="517"/>
      <c r="K144" s="519"/>
      <c r="L144" s="14"/>
      <c r="M144" s="14"/>
    </row>
    <row r="145" spans="2:13" ht="29.5" hidden="1" outlineLevel="1">
      <c r="B145" s="536" t="s">
        <v>336</v>
      </c>
      <c r="C145" s="537"/>
      <c r="D145" s="538"/>
      <c r="E145"/>
      <c r="F145" s="14"/>
      <c r="G145" s="517"/>
      <c r="H145" s="518"/>
      <c r="I145" s="517"/>
      <c r="J145" s="517"/>
      <c r="K145" s="519"/>
      <c r="L145" s="14"/>
      <c r="M145" s="14"/>
    </row>
    <row r="146" spans="2:13" ht="29.5" hidden="1" outlineLevel="1">
      <c r="B146" s="536" t="s">
        <v>393</v>
      </c>
      <c r="C146" s="537"/>
      <c r="D146" s="539"/>
      <c r="E146" s="3"/>
      <c r="F146" s="14"/>
      <c r="G146" s="517"/>
      <c r="H146" s="518"/>
      <c r="I146" s="517"/>
      <c r="J146" s="517"/>
      <c r="K146" s="519"/>
      <c r="L146" s="14"/>
      <c r="M146" s="14"/>
    </row>
    <row r="147" spans="2:13" ht="29.5" hidden="1" outlineLevel="1">
      <c r="B147" s="540" t="s">
        <v>476</v>
      </c>
      <c r="C147" s="537"/>
      <c r="D147" s="541"/>
      <c r="E147"/>
      <c r="F147" s="14"/>
      <c r="G147" s="517"/>
      <c r="H147" s="518"/>
      <c r="I147" s="517"/>
      <c r="J147" s="517"/>
      <c r="K147" s="519"/>
      <c r="L147" s="14"/>
      <c r="M147" s="14"/>
    </row>
    <row r="148" spans="2:13" ht="29.5" hidden="1" outlineLevel="1">
      <c r="B148" s="577" t="s">
        <v>477</v>
      </c>
      <c r="C148" s="542"/>
      <c r="D148" s="541"/>
      <c r="E148"/>
      <c r="F148" s="14"/>
      <c r="G148" s="517"/>
      <c r="H148" s="518"/>
      <c r="I148" s="517"/>
      <c r="J148" s="517"/>
      <c r="K148" s="519"/>
      <c r="L148" s="14"/>
      <c r="M148" s="14"/>
    </row>
    <row r="149" spans="2:13" ht="29.5" hidden="1" outlineLevel="1">
      <c r="B149" s="865" t="s">
        <v>888</v>
      </c>
      <c r="C149" s="537"/>
      <c r="D149" s="880">
        <f>-E59</f>
        <v>0</v>
      </c>
      <c r="E149"/>
      <c r="F149" s="14"/>
      <c r="G149" s="517"/>
      <c r="H149" s="518"/>
      <c r="I149" s="517"/>
      <c r="J149" s="517"/>
      <c r="K149" s="519"/>
      <c r="L149" s="14"/>
      <c r="M149" s="14"/>
    </row>
    <row r="150" spans="2:13" ht="29.5" hidden="1" outlineLevel="1">
      <c r="B150" s="577" t="s">
        <v>889</v>
      </c>
      <c r="C150" s="542"/>
      <c r="D150" s="880">
        <f>-E83</f>
        <v>0</v>
      </c>
      <c r="E150"/>
      <c r="F150" s="14"/>
      <c r="G150" s="517"/>
      <c r="H150" s="518"/>
      <c r="I150" s="517"/>
      <c r="J150" s="517"/>
      <c r="K150" s="519"/>
      <c r="L150" s="14"/>
      <c r="M150" s="14"/>
    </row>
    <row r="151" spans="2:13" ht="29.5" hidden="1" outlineLevel="1">
      <c r="B151" s="577" t="s">
        <v>890</v>
      </c>
      <c r="C151" s="542"/>
      <c r="D151" s="880">
        <f>-E106</f>
        <v>0</v>
      </c>
      <c r="E151"/>
      <c r="F151" s="14"/>
      <c r="G151" s="517"/>
      <c r="H151" s="518"/>
      <c r="I151" s="517"/>
      <c r="J151" s="517"/>
      <c r="K151" s="519"/>
      <c r="L151" s="14"/>
      <c r="M151" s="14"/>
    </row>
    <row r="152" spans="2:13" ht="29.5" hidden="1" outlineLevel="1">
      <c r="B152" s="577" t="s">
        <v>862</v>
      </c>
      <c r="C152" s="542"/>
      <c r="D152" s="880">
        <f>-E97</f>
        <v>0</v>
      </c>
      <c r="E152"/>
      <c r="F152" s="14"/>
      <c r="G152" s="517"/>
      <c r="H152" s="518"/>
      <c r="I152" s="517"/>
      <c r="J152" s="517"/>
      <c r="K152" s="519"/>
      <c r="L152" s="14"/>
      <c r="M152" s="14"/>
    </row>
    <row r="153" spans="2:13" ht="29.5" hidden="1" outlineLevel="1">
      <c r="B153" s="540" t="s">
        <v>891</v>
      </c>
      <c r="C153" s="537"/>
      <c r="D153" s="880">
        <f>-E113</f>
        <v>0</v>
      </c>
      <c r="E153"/>
      <c r="F153" s="14"/>
      <c r="G153" s="517"/>
      <c r="H153" s="518"/>
      <c r="I153" s="517"/>
      <c r="J153" s="517"/>
      <c r="K153" s="519"/>
      <c r="L153" s="14"/>
      <c r="M153" s="14"/>
    </row>
    <row r="154" spans="2:13" ht="29.5" hidden="1" outlineLevel="1">
      <c r="B154" s="540" t="s">
        <v>892</v>
      </c>
      <c r="C154" s="537"/>
      <c r="D154" s="880">
        <f>-E118</f>
        <v>0</v>
      </c>
      <c r="E154"/>
      <c r="F154" s="14"/>
      <c r="G154" s="517"/>
      <c r="H154" s="518"/>
      <c r="I154" s="517"/>
      <c r="J154" s="517"/>
      <c r="K154" s="520"/>
      <c r="L154" s="14"/>
      <c r="M154" s="14"/>
    </row>
    <row r="155" spans="2:13" hidden="1" outlineLevel="1">
      <c r="B155" s="540" t="s">
        <v>893</v>
      </c>
      <c r="C155" s="537"/>
      <c r="D155" s="541"/>
      <c r="E155"/>
      <c r="F155" s="14"/>
      <c r="G155" s="14"/>
      <c r="H155" s="14"/>
      <c r="I155" s="14"/>
      <c r="J155" s="14"/>
      <c r="K155" s="14"/>
      <c r="L155" s="14"/>
      <c r="M155" s="14"/>
    </row>
    <row r="156" spans="2:13" ht="18.5" hidden="1" outlineLevel="1">
      <c r="B156" s="865" t="s">
        <v>894</v>
      </c>
      <c r="C156" s="537"/>
      <c r="D156" s="543"/>
      <c r="E156"/>
      <c r="F156" s="14"/>
      <c r="G156" s="14"/>
      <c r="H156" s="14"/>
      <c r="I156" s="14"/>
      <c r="J156" s="14"/>
      <c r="K156" s="14"/>
      <c r="L156" s="14"/>
      <c r="M156" s="14"/>
    </row>
    <row r="157" spans="2:13" hidden="1" outlineLevel="1">
      <c r="B157" s="536" t="s">
        <v>342</v>
      </c>
      <c r="C157" s="537"/>
      <c r="D157" s="544">
        <f>SUM(D146:D156)</f>
        <v>0</v>
      </c>
      <c r="E157"/>
      <c r="F157" s="14"/>
      <c r="G157" s="14"/>
      <c r="H157" s="14"/>
      <c r="I157" s="14"/>
      <c r="J157" s="14"/>
      <c r="K157" s="14"/>
      <c r="L157" s="14"/>
      <c r="M157" s="14"/>
    </row>
    <row r="158" spans="2:13" hidden="1" outlineLevel="1">
      <c r="B158" s="536"/>
      <c r="C158" s="537"/>
      <c r="D158" s="538"/>
      <c r="E158"/>
      <c r="F158" s="14"/>
      <c r="G158" s="14"/>
      <c r="H158" s="14"/>
    </row>
    <row r="159" spans="2:13" hidden="1" outlineLevel="1">
      <c r="B159" s="536" t="s">
        <v>343</v>
      </c>
      <c r="C159" s="537"/>
      <c r="D159" s="538">
        <f>+D144+D157</f>
        <v>0</v>
      </c>
      <c r="E159" s="578"/>
      <c r="F159" s="14"/>
      <c r="G159" s="14"/>
      <c r="H159" s="14"/>
    </row>
    <row r="160" spans="2:13" hidden="1" outlineLevel="1">
      <c r="B160" s="536"/>
      <c r="C160" s="537"/>
      <c r="D160" s="538"/>
      <c r="E160"/>
      <c r="F160" s="14"/>
      <c r="G160" s="14"/>
      <c r="H160" s="14"/>
    </row>
    <row r="161" spans="2:8" hidden="1" outlineLevel="1">
      <c r="B161" s="536" t="s">
        <v>345</v>
      </c>
      <c r="C161" s="537"/>
      <c r="D161" s="538">
        <f>IFERROR('A2.Allocation &amp; Operating Plan'!I20,0)</f>
        <v>0</v>
      </c>
      <c r="E161"/>
      <c r="F161" s="14"/>
      <c r="G161" s="14"/>
      <c r="H161" s="14"/>
    </row>
    <row r="162" spans="2:8" hidden="1" outlineLevel="1">
      <c r="B162" s="536"/>
      <c r="C162" s="537"/>
      <c r="D162" s="538"/>
      <c r="E162"/>
      <c r="F162" s="14"/>
      <c r="G162" s="14"/>
      <c r="H162" s="14"/>
    </row>
    <row r="163" spans="2:8" hidden="1" outlineLevel="1">
      <c r="B163" s="536" t="s">
        <v>346</v>
      </c>
      <c r="C163" s="537"/>
      <c r="D163" s="538">
        <f>IF(D159&gt;D161,0,ROUND(D161-D159,2))</f>
        <v>0</v>
      </c>
      <c r="E163"/>
      <c r="F163" s="14"/>
      <c r="G163" s="14"/>
      <c r="H163" s="14"/>
    </row>
    <row r="164" spans="2:8" hidden="1" outlineLevel="1">
      <c r="B164" s="536" t="str">
        <f>IF(Table1324567[[#This Row],[Amounts]]&gt;0,"Underspending of CWELCC program applied to OTEF", " ")</f>
        <v xml:space="preserve"> </v>
      </c>
      <c r="C164" s="581"/>
      <c r="D164" s="538"/>
      <c r="E164"/>
      <c r="F164" s="14"/>
      <c r="G164" s="14"/>
      <c r="H164" s="14"/>
    </row>
    <row r="165" spans="2:8" hidden="1" outlineLevel="1">
      <c r="B165" s="577" t="s">
        <v>857</v>
      </c>
      <c r="C165" s="542"/>
      <c r="D165" s="538"/>
      <c r="E165"/>
      <c r="F165" s="14"/>
      <c r="G165" s="14"/>
      <c r="H165" s="14"/>
    </row>
    <row r="166" spans="2:8" hidden="1" outlineLevel="1">
      <c r="B166" s="582" t="s">
        <v>350</v>
      </c>
      <c r="C166" s="583"/>
      <c r="D166" s="584">
        <f>ROUND(D163-D164,2)</f>
        <v>0</v>
      </c>
      <c r="E166"/>
      <c r="F166" s="521"/>
      <c r="G166" s="14"/>
      <c r="H166" s="14"/>
    </row>
    <row r="167" spans="2:8" hidden="1" outlineLevel="1">
      <c r="B167" s="585"/>
      <c r="C167" s="586"/>
      <c r="D167" s="587"/>
      <c r="E167" s="588"/>
      <c r="F167" s="14"/>
      <c r="G167" s="14"/>
      <c r="H167" s="14"/>
    </row>
    <row r="168" spans="2:8" ht="18.5" hidden="1" outlineLevel="1">
      <c r="B168" s="104" t="str">
        <f>IF(C236&gt;0,"*Important Note: CWELCC program allocation underspending of $" &amp;ROUND(C236,0)&amp; " is being applied to your OTEF grant to maximize your Cost based funding, your remaining amount in Program cost underspending is $"&amp;D166," ")</f>
        <v xml:space="preserve"> </v>
      </c>
      <c r="C168"/>
      <c r="D168" s="57"/>
      <c r="E168" s="589"/>
      <c r="F168" s="14"/>
      <c r="G168" s="14"/>
      <c r="H168" s="14"/>
    </row>
    <row r="169" spans="2:8" ht="16" hidden="1" outlineLevel="1" thickBot="1">
      <c r="B169"/>
      <c r="C169"/>
      <c r="D169"/>
      <c r="E169" s="3"/>
      <c r="F169" s="14"/>
      <c r="G169" s="14"/>
      <c r="H169" s="14"/>
    </row>
    <row r="170" spans="2:8" ht="24" hidden="1" outlineLevel="1" thickBot="1">
      <c r="B170" s="590" t="s">
        <v>373</v>
      </c>
      <c r="C170" s="591"/>
      <c r="D170" s="591"/>
      <c r="E170" s="591"/>
      <c r="F170" s="14"/>
      <c r="G170" s="14"/>
      <c r="H170" s="14"/>
    </row>
    <row r="171" spans="2:8" hidden="1" outlineLevel="1">
      <c r="B171"/>
      <c r="C171"/>
      <c r="D171"/>
      <c r="E171" s="3"/>
      <c r="F171" s="14"/>
      <c r="G171" s="14"/>
      <c r="H171" s="14"/>
    </row>
    <row r="172" spans="2:8" hidden="1" outlineLevel="1">
      <c r="B172"/>
      <c r="C172"/>
      <c r="D172"/>
      <c r="E172" s="3"/>
      <c r="F172" s="14"/>
      <c r="G172" s="14"/>
      <c r="H172" s="14"/>
    </row>
    <row r="173" spans="2:8" ht="21" hidden="1" outlineLevel="1">
      <c r="B173" s="1208" t="s">
        <v>221</v>
      </c>
      <c r="C173" s="1209"/>
      <c r="D173" s="1209"/>
      <c r="E173" s="593"/>
      <c r="F173" s="14"/>
      <c r="G173" s="14"/>
      <c r="H173" s="14"/>
    </row>
    <row r="174" spans="2:8" hidden="1" outlineLevel="1">
      <c r="B174" s="1202" t="s">
        <v>77</v>
      </c>
      <c r="C174" s="1202"/>
      <c r="D174" s="1202"/>
      <c r="E174" s="594">
        <f>IFERROR((IF(D161-D185&lt;0,0,D161-D185)),0)</f>
        <v>0</v>
      </c>
      <c r="F174" s="14"/>
      <c r="G174" s="14"/>
      <c r="H174" s="14"/>
    </row>
    <row r="175" spans="2:8" hidden="1" outlineLevel="1">
      <c r="B175" s="1202" t="s">
        <v>78</v>
      </c>
      <c r="C175" s="1202"/>
      <c r="D175" s="1202"/>
      <c r="E175" s="594">
        <f>IFERROR(ROUND(('A2.Allocation &amp; Operating Plan'!I23-E187),0),0)</f>
        <v>0</v>
      </c>
      <c r="F175" s="14"/>
      <c r="G175" s="14"/>
      <c r="H175" s="14"/>
    </row>
    <row r="176" spans="2:8" hidden="1" outlineLevel="1">
      <c r="B176" s="1202" t="s">
        <v>218</v>
      </c>
      <c r="C176" s="1202"/>
      <c r="D176" s="1202"/>
      <c r="E176" s="594">
        <f>IFERROR((IF(C196&lt;C195,0,C196-C195)),0)</f>
        <v>0</v>
      </c>
      <c r="F176" s="14"/>
      <c r="G176" s="14"/>
      <c r="H176" s="14"/>
    </row>
    <row r="177" spans="2:8" hidden="1" outlineLevel="1">
      <c r="B177" s="1203" t="s">
        <v>79</v>
      </c>
      <c r="C177" s="1203"/>
      <c r="D177" s="1203"/>
      <c r="E177" s="597">
        <f>SUM(E174:E176)</f>
        <v>0</v>
      </c>
      <c r="F177" s="14"/>
      <c r="G177" s="14"/>
      <c r="H177" s="14"/>
    </row>
    <row r="178" spans="2:8" ht="16" hidden="1" outlineLevel="1" thickBot="1">
      <c r="B178"/>
      <c r="C178"/>
      <c r="D178"/>
      <c r="E178"/>
      <c r="F178" s="14"/>
      <c r="G178" s="14"/>
      <c r="H178" s="14"/>
    </row>
    <row r="179" spans="2:8" ht="21" hidden="1" outlineLevel="1">
      <c r="B179" s="598" t="s">
        <v>238</v>
      </c>
      <c r="C179" s="599"/>
      <c r="D179" s="599"/>
      <c r="E179" s="600"/>
      <c r="F179" s="14"/>
      <c r="G179" s="14"/>
      <c r="H179" s="14"/>
    </row>
    <row r="180" spans="2:8" ht="16" hidden="1" outlineLevel="1" thickBot="1">
      <c r="B180" s="78" t="s">
        <v>80</v>
      </c>
      <c r="C180"/>
      <c r="D180"/>
      <c r="E180" s="56"/>
      <c r="F180" s="14"/>
      <c r="G180" s="14"/>
      <c r="H180" s="14"/>
    </row>
    <row r="181" spans="2:8" ht="16" hidden="1" outlineLevel="1" thickBot="1">
      <c r="B181" s="601" t="s">
        <v>361</v>
      </c>
      <c r="C181" s="602"/>
      <c r="D181" s="602"/>
      <c r="E181" s="603">
        <f>IFERROR('A2.Allocation &amp; Operating Plan'!I24,0)</f>
        <v>0</v>
      </c>
      <c r="F181" s="14"/>
      <c r="G181" s="14"/>
      <c r="H181" s="14"/>
    </row>
    <row r="182" spans="2:8" ht="16" hidden="1" outlineLevel="1" thickTop="1">
      <c r="B182" s="604"/>
      <c r="C182" s="605"/>
      <c r="D182" s="606"/>
      <c r="E182" s="607"/>
      <c r="F182" s="14"/>
      <c r="G182" s="14"/>
      <c r="H182" s="14"/>
    </row>
    <row r="183" spans="2:8" ht="31" hidden="1" outlineLevel="1">
      <c r="B183" s="608" t="s">
        <v>435</v>
      </c>
      <c r="C183" s="609"/>
      <c r="D183" s="609"/>
      <c r="E183" s="610">
        <f>IFERROR(MIN(D185,D186),0)</f>
        <v>0</v>
      </c>
      <c r="F183" s="14"/>
      <c r="G183" s="14"/>
      <c r="H183" s="14"/>
    </row>
    <row r="184" spans="2:8" hidden="1" outlineLevel="1">
      <c r="B184" s="611" t="s">
        <v>81</v>
      </c>
      <c r="C184"/>
      <c r="D184" s="612"/>
      <c r="E184" s="613"/>
      <c r="F184" s="14"/>
      <c r="G184" s="14"/>
      <c r="H184" s="14"/>
    </row>
    <row r="185" spans="2:8" hidden="1" outlineLevel="1">
      <c r="B185" s="614" t="s">
        <v>465</v>
      </c>
      <c r="C185"/>
      <c r="D185" s="612">
        <f>D159</f>
        <v>0</v>
      </c>
      <c r="E185" s="615"/>
      <c r="F185" s="14"/>
      <c r="G185" s="14"/>
      <c r="H185" s="14"/>
    </row>
    <row r="186" spans="2:8" ht="16" hidden="1" outlineLevel="1" thickBot="1">
      <c r="B186" s="616" t="s">
        <v>362</v>
      </c>
      <c r="C186" s="617"/>
      <c r="D186" s="618">
        <f>D161</f>
        <v>0</v>
      </c>
      <c r="E186" s="619"/>
      <c r="F186" s="14"/>
      <c r="G186" s="14"/>
      <c r="H186" s="14"/>
    </row>
    <row r="187" spans="2:8" ht="16" hidden="1" outlineLevel="1" thickTop="1">
      <c r="B187" s="620" t="s">
        <v>436</v>
      </c>
      <c r="C187" s="621"/>
      <c r="D187" s="622"/>
      <c r="E187" s="623">
        <f>ROUND(IF((D188+D191+D192)&gt;'A2.Allocation &amp; Operating Plan'!I23,'A2.Allocation &amp; Operating Plan'!I23,D188+D191+D192),0)</f>
        <v>0</v>
      </c>
      <c r="F187" s="14"/>
      <c r="G187" s="14"/>
      <c r="H187" s="14"/>
    </row>
    <row r="188" spans="2:8" hidden="1" outlineLevel="1">
      <c r="B188" s="624" t="s">
        <v>363</v>
      </c>
      <c r="C188"/>
      <c r="D188" s="612">
        <f>IFERROR(0.0425*E183,0)</f>
        <v>0</v>
      </c>
      <c r="E188" s="625"/>
      <c r="F188" s="14"/>
      <c r="G188" s="14"/>
      <c r="H188" s="14"/>
    </row>
    <row r="189" spans="2:8" hidden="1" outlineLevel="1">
      <c r="B189" s="626" t="s">
        <v>82</v>
      </c>
      <c r="C189"/>
      <c r="D189" s="612"/>
      <c r="E189" s="625"/>
      <c r="F189" s="14"/>
      <c r="G189" s="14"/>
      <c r="H189" s="14"/>
    </row>
    <row r="190" spans="2:8" hidden="1" outlineLevel="1">
      <c r="B190" s="627" t="s">
        <v>364</v>
      </c>
      <c r="C190" s="612">
        <f>IFERROR(E183,0)</f>
        <v>0</v>
      </c>
      <c r="D190" s="612"/>
      <c r="E190" s="56"/>
      <c r="F190" s="14"/>
      <c r="G190" s="14"/>
      <c r="H190" s="14"/>
    </row>
    <row r="191" spans="2:8" hidden="1" outlineLevel="1">
      <c r="B191" s="627" t="s">
        <v>83</v>
      </c>
      <c r="C191" s="612">
        <f>IFERROR(SUM('A2.Allocation &amp; Operating Plan'!I13:I17),0)</f>
        <v>0</v>
      </c>
      <c r="D191" s="612">
        <f>IFERROR(0.035*MIN(C190,C191),0)</f>
        <v>0</v>
      </c>
      <c r="E191" s="56"/>
      <c r="F191" s="14"/>
      <c r="G191" s="14"/>
      <c r="H191" s="14"/>
    </row>
    <row r="192" spans="2:8" ht="16" hidden="1" outlineLevel="1" thickBot="1">
      <c r="B192" s="628" t="str">
        <f>"iii. Add - $"&amp;D192&amp; " per site"</f>
        <v>iii. Add - $0 per site</v>
      </c>
      <c r="C192" s="629"/>
      <c r="D192" s="618">
        <f>IF(SUM('A2.Allocation &amp; Operating Plan'!C129:G129)=0, 0, IF('A2.Allocation &amp; Operating Plan'!I125=0, 6000, 6000/12*'A2.Allocation &amp; Operating Plan'!I125))</f>
        <v>0</v>
      </c>
      <c r="E192" s="630"/>
      <c r="F192" s="14"/>
      <c r="G192" s="14"/>
      <c r="H192" s="14"/>
    </row>
    <row r="193" spans="2:8" ht="16" hidden="1" outlineLevel="1" thickTop="1">
      <c r="B193" s="620" t="s">
        <v>437</v>
      </c>
      <c r="C193" s="621"/>
      <c r="D193" s="631"/>
      <c r="E193" s="623">
        <f>-IFERROR(MAX(C195,C196),0)</f>
        <v>0</v>
      </c>
      <c r="F193" s="14"/>
      <c r="G193" s="14"/>
      <c r="H193" s="14"/>
    </row>
    <row r="194" spans="2:8" hidden="1" outlineLevel="1">
      <c r="B194" s="632" t="s">
        <v>84</v>
      </c>
      <c r="C194"/>
      <c r="D194" s="605"/>
      <c r="E194" s="633"/>
      <c r="F194" s="14"/>
      <c r="G194" s="14"/>
      <c r="H194" s="14"/>
    </row>
    <row r="195" spans="2:8" hidden="1" outlineLevel="1">
      <c r="B195" s="624" t="s">
        <v>365</v>
      </c>
      <c r="C195" s="612">
        <f>-IFERROR('A2.Allocation &amp; Operating Plan'!I21,0)</f>
        <v>0</v>
      </c>
      <c r="D195" s="605"/>
      <c r="E195" s="633"/>
    </row>
    <row r="196" spans="2:8" ht="16" hidden="1" outlineLevel="1" thickBot="1">
      <c r="B196" s="634" t="s">
        <v>366</v>
      </c>
      <c r="C196" s="618">
        <f>-D139</f>
        <v>0</v>
      </c>
      <c r="D196" s="635"/>
      <c r="E196" s="636"/>
    </row>
    <row r="197" spans="2:8" ht="16.5" hidden="1" outlineLevel="1" thickTop="1" thickBot="1">
      <c r="B197" s="637" t="s">
        <v>219</v>
      </c>
      <c r="C197" s="638"/>
      <c r="D197" s="639"/>
      <c r="E197" s="640">
        <f>IFERROR(E183+E187+E193,0)</f>
        <v>0</v>
      </c>
    </row>
    <row r="198" spans="2:8" ht="16" hidden="1" outlineLevel="1" thickBot="1">
      <c r="B198" s="641"/>
      <c r="C198" s="641"/>
      <c r="D198" s="641"/>
      <c r="E198" s="642"/>
    </row>
    <row r="199" spans="2:8" ht="19" hidden="1" outlineLevel="1" thickBot="1">
      <c r="B199" s="643" t="s">
        <v>220</v>
      </c>
      <c r="C199" s="644"/>
      <c r="D199" s="644"/>
      <c r="E199" s="645">
        <f>IF(E197&lt;0,0,E181-E197)</f>
        <v>0</v>
      </c>
    </row>
    <row r="200" spans="2:8" hidden="1" collapsed="1"/>
  </sheetData>
  <sheetProtection algorithmName="SHA-512" hashValue="E19doC0hH59tRyQtQZlYHWJ+q9JDPUo72ctISpDV4lflYFiGfFM/OmlHhUqXNtwds2MhqKwyhm3iYJeIM5+waw==" saltValue="oURbeWoUPHwSQXXtjxChgQ==" spinCount="100000" sheet="1"/>
  <protectedRanges>
    <protectedRange sqref="B78 B74 B69 B60 F72:F75 D109:F109 F119:F121 E34:F34 F114:F117 F104:F108 B108:B109 F24:F29 F18:F21 B99:B101 F81:F102 F77:F79 D122:F122 F63:F69 D37:F37 D45:F45 F38:F44 D53:F53 F46:F52 F54:F60" name="allow"/>
    <protectedRange sqref="B28:B29" name="allow_1"/>
    <protectedRange sqref="D18:E19" name="allow_5"/>
    <protectedRange sqref="F22:F23" name="allow_5_1"/>
    <protectedRange sqref="D28:E29 D24:D26 E24:E27 D20:E23" name="allow_5_1_2"/>
    <protectedRange sqref="D38:E44" name="allow_2"/>
    <protectedRange sqref="D46:E52" name="allow_3"/>
    <protectedRange sqref="D54:E60" name="allow_4"/>
    <protectedRange sqref="D63:E69" name="allow_6"/>
    <protectedRange sqref="D72:E74" name="allow_7"/>
    <protectedRange sqref="D77:E78" name="allow_8"/>
    <protectedRange sqref="D81:E101" name="allow_9"/>
    <protectedRange sqref="D105:E108" name="allow_10"/>
    <protectedRange sqref="D114:D116" name="allow_11"/>
    <protectedRange sqref="D119:D121" name="allow_12"/>
  </protectedRanges>
  <mergeCells count="22">
    <mergeCell ref="B134:C134"/>
    <mergeCell ref="B1:F1"/>
    <mergeCell ref="B2:F2"/>
    <mergeCell ref="B3:G3"/>
    <mergeCell ref="H9:I12"/>
    <mergeCell ref="E15:F15"/>
    <mergeCell ref="H18:H19"/>
    <mergeCell ref="H34:H35"/>
    <mergeCell ref="B129:E129"/>
    <mergeCell ref="B131:C131"/>
    <mergeCell ref="B132:C132"/>
    <mergeCell ref="B133:C133"/>
    <mergeCell ref="B174:D174"/>
    <mergeCell ref="B175:D175"/>
    <mergeCell ref="B176:D176"/>
    <mergeCell ref="B177:D177"/>
    <mergeCell ref="B136:C136"/>
    <mergeCell ref="B137:C137"/>
    <mergeCell ref="B138:C138"/>
    <mergeCell ref="B139:C139"/>
    <mergeCell ref="B141:C141"/>
    <mergeCell ref="B173:D173"/>
  </mergeCells>
  <conditionalFormatting sqref="E15">
    <cfRule type="cellIs" dxfId="42" priority="8" operator="notEqual">
      <formula>""</formula>
    </cfRule>
  </conditionalFormatting>
  <conditionalFormatting sqref="F7:F14">
    <cfRule type="cellIs" dxfId="41" priority="3" operator="notEqual">
      <formula>""</formula>
    </cfRule>
  </conditionalFormatting>
  <conditionalFormatting sqref="G18">
    <cfRule type="expression" priority="11">
      <formula>"if($D$17&gt;1 and $E$17 = 0,""red"",blue"")"</formula>
    </cfRule>
  </conditionalFormatting>
  <conditionalFormatting sqref="G38:G44 G46:G52 G54:G60">
    <cfRule type="expression" dxfId="40" priority="10">
      <formula>AND(ISNUMBER(D38), E38="")</formula>
    </cfRule>
  </conditionalFormatting>
  <conditionalFormatting sqref="G63:G69">
    <cfRule type="expression" dxfId="39" priority="9">
      <formula>AND(ISNUMBER(D63), E63="")</formula>
    </cfRule>
  </conditionalFormatting>
  <conditionalFormatting sqref="H13:H15">
    <cfRule type="cellIs" dxfId="38" priority="7" operator="notEqual">
      <formula>""</formula>
    </cfRule>
  </conditionalFormatting>
  <dataValidations disablePrompts="1" count="6">
    <dataValidation type="list" allowBlank="1" showInputMessage="1" showErrorMessage="1" sqref="F14" xr:uid="{C61EFF50-E56F-425C-B746-66A04581849F}">
      <formula1>$XEM$9:$XEM$10</formula1>
    </dataValidation>
    <dataValidation type="list" allowBlank="1" showInputMessage="1" showErrorMessage="1" sqref="F13" xr:uid="{2AA7B7F8-9F52-4975-919F-7BA0B6924D94}">
      <formula1>$XEK$9:$XEK$12</formula1>
    </dataValidation>
    <dataValidation type="list" allowBlank="1" showInputMessage="1" showErrorMessage="1" sqref="F12" xr:uid="{0EB87578-E132-4BED-A320-CD7C756AA68D}">
      <formula1>$XEI$9:$XEI$11</formula1>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1" xr:uid="{DA7DBB07-DE65-42F4-A96A-32153112E6E7}">
      <formula1>0</formula1>
      <formula2>365</formula2>
    </dataValidation>
    <dataValidation type="decimal" allowBlank="1" showInputMessage="1" showErrorMessage="1" sqref="F54:F60 F38:F44 F46:F52" xr:uid="{E056AFA4-0A14-41CB-B493-843962FF08CC}">
      <formula1>0</formula1>
      <formula2>1000000000000000000</formula2>
    </dataValidation>
    <dataValidation type="list" allowBlank="1" showInputMessage="1" showErrorMessage="1" sqref="E15:F15" xr:uid="{C1F3ED61-4C74-4D1F-94A9-42BA5AF2D8C6}">
      <formula1>$XEN$9:$XEN$13</formula1>
    </dataValidation>
  </dataValidations>
  <pageMargins left="0.7" right="0.7" top="0.75" bottom="0.75" header="0.3" footer="0.3"/>
  <pageSetup scale="54" orientation="landscape" r:id="rId1"/>
  <legacyDrawing r:id="rId2"/>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24F12-A994-4170-AF7A-16BE8C25569D}">
  <sheetPr>
    <tabColor rgb="FFFFC000"/>
  </sheetPr>
  <dimension ref="A1:V97"/>
  <sheetViews>
    <sheetView showGridLines="0" topLeftCell="A93" zoomScale="80" zoomScaleNormal="80" workbookViewId="0">
      <selection activeCell="F73" sqref="F73"/>
    </sheetView>
  </sheetViews>
  <sheetFormatPr defaultColWidth="9.1796875" defaultRowHeight="14.5"/>
  <cols>
    <col min="3" max="3" width="95.26953125" bestFit="1" customWidth="1"/>
    <col min="4" max="4" width="6.7265625" bestFit="1" customWidth="1"/>
    <col min="5" max="5" width="8.26953125" customWidth="1"/>
    <col min="6" max="6" width="31.1796875" customWidth="1"/>
    <col min="7" max="7" width="2.54296875" customWidth="1"/>
    <col min="8" max="8" width="6.54296875" customWidth="1"/>
    <col min="9" max="9" width="27.453125" customWidth="1"/>
    <col min="11" max="11" width="17.7265625" customWidth="1"/>
    <col min="12" max="12" width="11.1796875" customWidth="1"/>
  </cols>
  <sheetData>
    <row r="1" spans="1:12" ht="26">
      <c r="A1" s="1210" t="s">
        <v>734</v>
      </c>
      <c r="B1" s="1210"/>
      <c r="C1" s="1210"/>
      <c r="D1" s="1210"/>
      <c r="E1" s="1210"/>
      <c r="F1" s="1210"/>
      <c r="G1" s="1210"/>
      <c r="H1" s="1210"/>
      <c r="I1" s="1210"/>
      <c r="K1" s="109" t="s">
        <v>109</v>
      </c>
      <c r="L1" s="110" t="str">
        <f>IF('A1. Identification'!$D$13=0, " ",'A1. Identification'!$D$13)</f>
        <v xml:space="preserve"> </v>
      </c>
    </row>
    <row r="2" spans="1:12" ht="17.25" customHeight="1">
      <c r="K2" s="109" t="s">
        <v>301</v>
      </c>
      <c r="L2" s="889">
        <f>'A6e. Operations-Site 5'!L2</f>
        <v>0</v>
      </c>
    </row>
    <row r="3" spans="1:12" ht="22.5">
      <c r="A3" s="122" t="s">
        <v>487</v>
      </c>
      <c r="B3" s="123"/>
      <c r="C3" s="124"/>
      <c r="D3" s="124"/>
      <c r="E3" s="124"/>
      <c r="F3" s="125"/>
      <c r="G3" s="125"/>
      <c r="H3" s="125"/>
      <c r="I3" s="126"/>
    </row>
    <row r="4" spans="1:12" ht="20">
      <c r="A4" s="752"/>
      <c r="B4" s="127"/>
      <c r="C4" s="753"/>
      <c r="D4" s="753"/>
      <c r="E4" s="753"/>
      <c r="F4" s="128"/>
      <c r="G4" s="129"/>
      <c r="H4" s="129"/>
    </row>
    <row r="5" spans="1:12" ht="15.5">
      <c r="A5" s="127"/>
      <c r="B5" s="127"/>
      <c r="C5" s="754"/>
      <c r="D5" s="754"/>
      <c r="E5" s="754"/>
      <c r="F5" s="130"/>
      <c r="G5" s="131"/>
      <c r="H5" s="131"/>
      <c r="I5" s="1"/>
    </row>
    <row r="6" spans="1:12" ht="17.5">
      <c r="A6" s="1"/>
      <c r="B6" s="132" t="s">
        <v>488</v>
      </c>
      <c r="C6" s="133"/>
      <c r="D6" s="133"/>
      <c r="E6" s="133"/>
      <c r="F6" s="130"/>
      <c r="G6" s="131"/>
      <c r="H6" s="131"/>
      <c r="I6" s="1"/>
    </row>
    <row r="7" spans="1:12" ht="15.5">
      <c r="A7" s="1"/>
      <c r="B7" s="755" t="s">
        <v>489</v>
      </c>
      <c r="C7" s="133"/>
      <c r="D7" s="133"/>
      <c r="E7" s="133"/>
      <c r="F7" s="130"/>
      <c r="G7" s="131"/>
      <c r="H7" s="131"/>
      <c r="I7" s="1"/>
    </row>
    <row r="8" spans="1:12" ht="15.5">
      <c r="A8" s="134"/>
      <c r="B8" s="134"/>
      <c r="C8" s="135" t="s">
        <v>490</v>
      </c>
      <c r="D8" s="136"/>
      <c r="E8" s="137" t="s">
        <v>491</v>
      </c>
      <c r="F8" s="756">
        <f>'A6e. Operations-Site 5'!F7</f>
        <v>0</v>
      </c>
      <c r="G8" s="138"/>
      <c r="H8" s="138"/>
      <c r="I8" s="1"/>
    </row>
    <row r="9" spans="1:12" ht="15">
      <c r="A9" s="134"/>
      <c r="B9" s="134"/>
      <c r="C9" s="135" t="s">
        <v>492</v>
      </c>
      <c r="D9" s="134"/>
      <c r="E9" s="137" t="s">
        <v>493</v>
      </c>
      <c r="F9" s="881">
        <f>'A1. Identification'!D6</f>
        <v>0</v>
      </c>
      <c r="G9" s="138"/>
      <c r="H9" s="138"/>
      <c r="I9" s="134"/>
    </row>
    <row r="10" spans="1:12" ht="15">
      <c r="A10" s="134"/>
      <c r="B10" s="134"/>
      <c r="C10" s="135" t="s">
        <v>494</v>
      </c>
      <c r="D10" s="136"/>
      <c r="E10" s="137" t="s">
        <v>495</v>
      </c>
      <c r="F10" s="757">
        <f>'A6e. Operations-Site 5'!F8</f>
        <v>0</v>
      </c>
      <c r="G10" s="138"/>
      <c r="H10" s="138"/>
      <c r="I10" s="134"/>
    </row>
    <row r="11" spans="1:12" ht="15">
      <c r="A11" s="134"/>
      <c r="B11" s="134"/>
      <c r="C11" s="135" t="s">
        <v>496</v>
      </c>
      <c r="D11" s="136"/>
      <c r="E11" s="137" t="s">
        <v>497</v>
      </c>
      <c r="F11" s="758">
        <f>'A6e. Operations-Site 5'!F9</f>
        <v>0</v>
      </c>
      <c r="G11" s="139"/>
      <c r="H11" s="139"/>
      <c r="I11" s="279"/>
    </row>
    <row r="12" spans="1:12" ht="15.5">
      <c r="A12" s="134"/>
      <c r="B12" s="134"/>
      <c r="C12" s="135" t="s">
        <v>498</v>
      </c>
      <c r="D12" s="136"/>
      <c r="E12" s="136"/>
      <c r="F12" s="759" t="s">
        <v>726</v>
      </c>
      <c r="G12" s="141"/>
      <c r="H12" s="270"/>
      <c r="I12" s="1"/>
    </row>
    <row r="13" spans="1:12" ht="15.5">
      <c r="A13" s="134"/>
      <c r="B13" s="134"/>
      <c r="C13" s="760" t="s">
        <v>499</v>
      </c>
      <c r="D13" s="136"/>
      <c r="E13" s="137" t="s">
        <v>500</v>
      </c>
      <c r="F13" s="269">
        <v>232</v>
      </c>
      <c r="G13" s="142"/>
      <c r="H13" s="142"/>
      <c r="I13" s="1"/>
    </row>
    <row r="14" spans="1:12" ht="15.5">
      <c r="A14" s="134"/>
      <c r="B14" s="134"/>
      <c r="C14" s="135" t="s">
        <v>501</v>
      </c>
      <c r="D14" s="136"/>
      <c r="E14" s="137" t="s">
        <v>502</v>
      </c>
      <c r="F14" s="143">
        <v>2025</v>
      </c>
      <c r="G14" s="144"/>
      <c r="H14" s="144"/>
      <c r="I14" s="1"/>
    </row>
    <row r="15" spans="1:12" ht="15">
      <c r="A15" s="134"/>
      <c r="B15" s="761"/>
      <c r="C15" s="136"/>
      <c r="D15" s="136"/>
      <c r="E15" s="136"/>
      <c r="F15" s="761"/>
      <c r="G15" s="761"/>
      <c r="H15" s="761"/>
      <c r="I15" s="134"/>
    </row>
    <row r="16" spans="1:12" ht="17.5">
      <c r="A16" s="134"/>
      <c r="B16" s="132" t="s">
        <v>503</v>
      </c>
      <c r="C16" s="136"/>
      <c r="D16" s="136"/>
      <c r="E16" s="136"/>
      <c r="F16" s="761"/>
      <c r="G16" s="761"/>
      <c r="H16" s="761"/>
      <c r="I16" s="134"/>
    </row>
    <row r="17" spans="1:9" ht="15">
      <c r="A17" s="134"/>
      <c r="B17" s="755" t="s">
        <v>504</v>
      </c>
      <c r="C17" s="136"/>
      <c r="D17" s="136"/>
      <c r="E17" s="136"/>
      <c r="F17" s="761"/>
      <c r="G17" s="761"/>
      <c r="H17" s="761"/>
      <c r="I17" s="761"/>
    </row>
    <row r="18" spans="1:9" ht="15.5">
      <c r="A18" s="1"/>
      <c r="B18" s="1"/>
      <c r="C18" s="1" t="s">
        <v>505</v>
      </c>
      <c r="D18" s="133"/>
      <c r="E18" s="137" t="s">
        <v>506</v>
      </c>
      <c r="F18" s="762">
        <f>'A6e. Operations-Site 5'!F11</f>
        <v>0</v>
      </c>
      <c r="G18" s="145"/>
      <c r="H18" s="145"/>
      <c r="I18" s="279"/>
    </row>
    <row r="19" spans="1:9" ht="15.5">
      <c r="A19" s="1"/>
      <c r="B19" s="1"/>
      <c r="C19" s="133"/>
      <c r="D19" s="133"/>
      <c r="E19" s="133"/>
      <c r="F19" s="130"/>
      <c r="G19" s="131"/>
      <c r="H19" s="131"/>
      <c r="I19" s="1"/>
    </row>
    <row r="20" spans="1:9" ht="60" customHeight="1">
      <c r="A20" s="1"/>
      <c r="B20" s="763"/>
      <c r="C20" s="763"/>
      <c r="F20" s="764" t="s">
        <v>507</v>
      </c>
      <c r="H20" s="764"/>
      <c r="I20" s="764" t="s">
        <v>508</v>
      </c>
    </row>
    <row r="21" spans="1:9" ht="15.5">
      <c r="A21" s="1"/>
      <c r="C21" s="765" t="s">
        <v>509</v>
      </c>
      <c r="E21" s="766" t="s">
        <v>510</v>
      </c>
      <c r="F21" s="767">
        <f>('A2.Allocation &amp; Operating Plan'!C127+'A2.Allocation &amp; Operating Plan'!C128)*'A2.Allocation &amp; Operating Plan'!C129</f>
        <v>0</v>
      </c>
      <c r="H21" s="766" t="s">
        <v>511</v>
      </c>
      <c r="I21" s="767">
        <f>+'A2.Allocation &amp; Operating Plan'!C129*'A2.Allocation &amp; Operating Plan'!C131</f>
        <v>0</v>
      </c>
    </row>
    <row r="22" spans="1:9" ht="15.5">
      <c r="A22" s="1"/>
      <c r="C22" s="765" t="s">
        <v>512</v>
      </c>
      <c r="E22" s="766" t="s">
        <v>513</v>
      </c>
      <c r="F22" s="767">
        <f>('A2.Allocation &amp; Operating Plan'!D127+'A2.Allocation &amp; Operating Plan'!D128)*'A2.Allocation &amp; Operating Plan'!D129</f>
        <v>0</v>
      </c>
      <c r="H22" s="766" t="s">
        <v>514</v>
      </c>
      <c r="I22" s="767">
        <f>+'A2.Allocation &amp; Operating Plan'!D129*'A2.Allocation &amp; Operating Plan'!D131</f>
        <v>0</v>
      </c>
    </row>
    <row r="23" spans="1:9" ht="30">
      <c r="A23" s="1"/>
      <c r="C23" s="765" t="s">
        <v>4</v>
      </c>
      <c r="E23" s="766" t="s">
        <v>515</v>
      </c>
      <c r="F23" s="767">
        <f>('A2.Allocation &amp; Operating Plan'!E127+'A2.Allocation &amp; Operating Plan'!E128)*'A2.Allocation &amp; Operating Plan'!E129</f>
        <v>0</v>
      </c>
      <c r="H23" s="766" t="s">
        <v>516</v>
      </c>
      <c r="I23" s="767">
        <f>'A2.Allocation &amp; Operating Plan'!E129*'A2.Allocation &amp; Operating Plan'!E131</f>
        <v>0</v>
      </c>
    </row>
    <row r="24" spans="1:9" ht="30">
      <c r="A24" s="1"/>
      <c r="C24" s="765" t="s">
        <v>517</v>
      </c>
      <c r="E24" s="766" t="s">
        <v>518</v>
      </c>
      <c r="F24" s="767">
        <f>('A2.Allocation &amp; Operating Plan'!F127+'A2.Allocation &amp; Operating Plan'!F128)*'A2.Allocation &amp; Operating Plan'!F129</f>
        <v>0</v>
      </c>
      <c r="H24" s="766" t="s">
        <v>519</v>
      </c>
      <c r="I24" s="767">
        <f>'A2.Allocation &amp; Operating Plan'!F129*'A2.Allocation &amp; Operating Plan'!F131</f>
        <v>0</v>
      </c>
    </row>
    <row r="25" spans="1:9" ht="30">
      <c r="A25" s="127"/>
      <c r="C25" s="765" t="s">
        <v>520</v>
      </c>
      <c r="E25" s="766" t="s">
        <v>521</v>
      </c>
      <c r="F25" s="767">
        <f>('A2.Allocation &amp; Operating Plan'!G127+'A2.Allocation &amp; Operating Plan'!G128)*'A2.Allocation &amp; Operating Plan'!G129</f>
        <v>0</v>
      </c>
      <c r="H25" s="766" t="s">
        <v>522</v>
      </c>
      <c r="I25" s="767">
        <f>'A2.Allocation &amp; Operating Plan'!G129*'A2.Allocation &amp; Operating Plan'!G131</f>
        <v>0</v>
      </c>
    </row>
    <row r="26" spans="1:9" ht="30">
      <c r="A26" s="127"/>
      <c r="C26" s="765" t="s">
        <v>523</v>
      </c>
      <c r="E26" s="766" t="s">
        <v>524</v>
      </c>
      <c r="F26" s="767">
        <f>(('A2.Allocation &amp; Operating Plan'!H127+'A2.Allocation &amp; Operating Plan'!H128)*'A2.Allocation &amp; Operating Plan'!H129)+(('A2.Allocation &amp; Operating Plan'!I127+'A2.Allocation &amp; Operating Plan'!I128)*'A2.Allocation &amp; Operating Plan'!I129)</f>
        <v>0</v>
      </c>
      <c r="H26" s="766" t="s">
        <v>525</v>
      </c>
      <c r="I26" s="767">
        <f>('A2.Allocation &amp; Operating Plan'!H129*'A2.Allocation &amp; Operating Plan'!H131)+('A2.Allocation &amp; Operating Plan'!I129*'A2.Allocation &amp; Operating Plan'!I131)</f>
        <v>0</v>
      </c>
    </row>
    <row r="27" spans="1:9" ht="15.5">
      <c r="A27" s="127"/>
      <c r="C27" s="768" t="s">
        <v>87</v>
      </c>
      <c r="F27" s="147">
        <f>+SUM(F21:F26)</f>
        <v>0</v>
      </c>
      <c r="H27" s="146"/>
      <c r="I27" s="147">
        <f>+SUM(I21:I26)</f>
        <v>0</v>
      </c>
    </row>
    <row r="29" spans="1:9" ht="17.5">
      <c r="B29" s="769" t="s">
        <v>526</v>
      </c>
      <c r="C29" s="148"/>
      <c r="D29" s="148"/>
      <c r="E29" s="148"/>
      <c r="F29" s="149"/>
      <c r="G29" s="149"/>
      <c r="H29" s="149"/>
      <c r="I29" s="1"/>
    </row>
    <row r="30" spans="1:9" ht="17.5">
      <c r="B30" s="770" t="s">
        <v>527</v>
      </c>
      <c r="C30" s="148"/>
      <c r="D30" s="148"/>
      <c r="E30" s="148"/>
      <c r="F30" s="149"/>
      <c r="G30" s="150"/>
      <c r="H30" s="150"/>
      <c r="I30" s="1"/>
    </row>
    <row r="31" spans="1:9" ht="15.5">
      <c r="B31" s="755" t="s">
        <v>528</v>
      </c>
      <c r="C31" s="1"/>
      <c r="D31" s="1"/>
      <c r="E31" s="1"/>
      <c r="F31" s="1"/>
      <c r="G31" s="1"/>
      <c r="H31" s="1"/>
      <c r="I31" s="1"/>
    </row>
    <row r="32" spans="1:9" ht="15.5">
      <c r="B32" s="151"/>
      <c r="C32" s="1" t="s">
        <v>529</v>
      </c>
      <c r="D32" s="1"/>
      <c r="E32" s="152" t="s">
        <v>530</v>
      </c>
      <c r="F32" s="771">
        <f>'A6e. Operations-Site 5'!E20</f>
        <v>0</v>
      </c>
      <c r="G32" s="153"/>
      <c r="H32" s="153"/>
      <c r="I32" s="279"/>
    </row>
    <row r="33" spans="2:22" ht="15.5">
      <c r="B33" s="772"/>
      <c r="C33" s="1" t="s">
        <v>531</v>
      </c>
      <c r="D33" s="1"/>
      <c r="E33" s="152" t="s">
        <v>532</v>
      </c>
      <c r="F33" s="964">
        <f>'A6e. Operations-Site 5'!E21+'A6e. Operations-Site 5'!E24</f>
        <v>0</v>
      </c>
      <c r="G33" s="153"/>
      <c r="H33" s="153"/>
      <c r="I33" s="279"/>
    </row>
    <row r="34" spans="2:22" ht="15.5">
      <c r="B34" s="1"/>
      <c r="C34" s="133"/>
      <c r="D34" s="133"/>
      <c r="E34" s="133"/>
      <c r="F34" s="154"/>
      <c r="G34" s="155"/>
      <c r="H34" s="155"/>
      <c r="I34" s="156"/>
    </row>
    <row r="35" spans="2:22" ht="17.5">
      <c r="B35" s="769" t="s">
        <v>533</v>
      </c>
      <c r="C35" s="133"/>
      <c r="D35" s="133"/>
      <c r="E35" s="133"/>
      <c r="F35" s="149"/>
      <c r="G35" s="150"/>
      <c r="H35" s="150"/>
      <c r="I35" s="773"/>
    </row>
    <row r="36" spans="2:22" ht="15.5">
      <c r="B36" s="755" t="s">
        <v>534</v>
      </c>
      <c r="C36" s="133"/>
      <c r="D36" s="133"/>
      <c r="E36" s="133"/>
      <c r="F36" s="149"/>
      <c r="G36" s="150"/>
      <c r="H36" s="150"/>
      <c r="I36" s="773"/>
    </row>
    <row r="37" spans="2:22" ht="15.5">
      <c r="B37" s="755" t="s">
        <v>535</v>
      </c>
      <c r="C37" s="133"/>
      <c r="D37" s="133"/>
      <c r="E37" s="133"/>
      <c r="F37" s="149"/>
      <c r="G37" s="150"/>
      <c r="H37" s="150"/>
      <c r="I37" s="773"/>
    </row>
    <row r="38" spans="2:22" ht="15.5">
      <c r="B38" s="157"/>
      <c r="C38" s="133"/>
      <c r="D38" s="133"/>
      <c r="E38" s="133"/>
      <c r="F38" s="158" t="s">
        <v>536</v>
      </c>
      <c r="G38" s="159"/>
      <c r="H38" s="159"/>
      <c r="I38" s="746" t="s">
        <v>880</v>
      </c>
      <c r="J38" s="774"/>
      <c r="K38" s="774"/>
      <c r="L38" s="774"/>
      <c r="M38" s="774"/>
      <c r="N38" s="774"/>
      <c r="O38" s="774"/>
      <c r="P38" s="774"/>
      <c r="Q38" s="774"/>
      <c r="R38" s="774"/>
      <c r="S38" s="774"/>
      <c r="T38" s="774"/>
      <c r="U38" s="774"/>
      <c r="V38" s="774"/>
    </row>
    <row r="39" spans="2:22" ht="15.5">
      <c r="B39" s="160"/>
      <c r="C39" s="775" t="s">
        <v>537</v>
      </c>
      <c r="D39" s="775"/>
      <c r="E39" s="775"/>
      <c r="F39" s="158"/>
      <c r="G39" s="159"/>
      <c r="H39" s="159"/>
      <c r="I39" s="746"/>
      <c r="J39" s="774"/>
      <c r="K39" s="774"/>
      <c r="L39" s="774"/>
      <c r="M39" s="774"/>
      <c r="N39" s="774"/>
      <c r="O39" s="774"/>
      <c r="P39" s="774"/>
      <c r="Q39" s="774"/>
      <c r="R39" s="774"/>
      <c r="S39" s="774"/>
      <c r="T39" s="774"/>
      <c r="U39" s="774"/>
      <c r="V39" s="774"/>
    </row>
    <row r="40" spans="2:22" ht="15.5">
      <c r="B40" s="160"/>
      <c r="C40" s="776" t="s">
        <v>538</v>
      </c>
      <c r="D40" s="776"/>
      <c r="E40" s="777" t="s">
        <v>539</v>
      </c>
      <c r="F40" s="771">
        <f>'A6e. Operations-Site 5'!E38+'A6e. Operations-Site 5'!E39</f>
        <v>0</v>
      </c>
      <c r="G40" s="153"/>
      <c r="H40" s="153"/>
      <c r="I40" s="747" t="str">
        <f>+IFERROR(F40/$F$73,"")</f>
        <v/>
      </c>
      <c r="J40" s="774"/>
      <c r="K40" s="774"/>
      <c r="L40" s="774"/>
      <c r="M40" s="774"/>
      <c r="N40" s="774"/>
      <c r="O40" s="774"/>
      <c r="P40" s="774"/>
      <c r="Q40" s="774"/>
      <c r="R40" s="774"/>
      <c r="S40" s="774"/>
      <c r="T40" s="774"/>
      <c r="U40" s="774"/>
      <c r="V40" s="774"/>
    </row>
    <row r="41" spans="2:22" ht="15.5">
      <c r="B41" s="160"/>
      <c r="C41" s="776" t="s">
        <v>540</v>
      </c>
      <c r="D41" s="776"/>
      <c r="E41" s="777" t="s">
        <v>541</v>
      </c>
      <c r="F41" s="771">
        <f>'A6e. Operations-Site 5'!E40+'A6e. Operations-Site 5'!E41</f>
        <v>0</v>
      </c>
      <c r="G41" s="153"/>
      <c r="H41" s="153"/>
      <c r="I41" s="747" t="str">
        <f t="shared" ref="I41:I43" si="0">+IFERROR(F41/$F$73,"")</f>
        <v/>
      </c>
      <c r="J41" s="774"/>
      <c r="K41" s="774"/>
      <c r="L41" s="774"/>
      <c r="M41" s="774"/>
      <c r="N41" s="774"/>
      <c r="O41" s="774"/>
      <c r="P41" s="774"/>
      <c r="Q41" s="774"/>
      <c r="R41" s="774"/>
      <c r="S41" s="774"/>
      <c r="T41" s="774"/>
      <c r="U41" s="774"/>
      <c r="V41" s="774"/>
    </row>
    <row r="42" spans="2:22" ht="15.5">
      <c r="B42" s="160"/>
      <c r="C42" s="776" t="s">
        <v>542</v>
      </c>
      <c r="D42" s="776"/>
      <c r="E42" s="777" t="s">
        <v>543</v>
      </c>
      <c r="F42" s="771">
        <f>'A6e. Operations-Site 5'!E42</f>
        <v>0</v>
      </c>
      <c r="G42" s="153"/>
      <c r="H42" s="153"/>
      <c r="I42" s="747" t="str">
        <f t="shared" si="0"/>
        <v/>
      </c>
      <c r="J42" s="774"/>
      <c r="K42" s="774"/>
      <c r="L42" s="774"/>
      <c r="M42" s="774"/>
      <c r="N42" s="774"/>
      <c r="O42" s="774"/>
      <c r="P42" s="774"/>
      <c r="Q42" s="774"/>
      <c r="R42" s="774"/>
      <c r="S42" s="774"/>
      <c r="T42" s="774"/>
      <c r="U42" s="774"/>
      <c r="V42" s="774"/>
    </row>
    <row r="43" spans="2:22" ht="15.5">
      <c r="B43" s="160"/>
      <c r="C43" s="776" t="s">
        <v>544</v>
      </c>
      <c r="D43" s="776"/>
      <c r="E43" s="777" t="s">
        <v>545</v>
      </c>
      <c r="F43" s="771">
        <f>'A6e. Operations-Site 5'!E43</f>
        <v>0</v>
      </c>
      <c r="G43" s="161"/>
      <c r="H43" s="161"/>
      <c r="I43" s="747" t="str">
        <f t="shared" si="0"/>
        <v/>
      </c>
      <c r="J43" s="774"/>
      <c r="K43" s="774"/>
      <c r="L43" s="774"/>
      <c r="M43" s="774"/>
      <c r="N43" s="774"/>
      <c r="O43" s="774"/>
      <c r="P43" s="774"/>
      <c r="Q43" s="774"/>
      <c r="R43" s="774"/>
      <c r="S43" s="774"/>
      <c r="T43" s="774"/>
      <c r="U43" s="774"/>
      <c r="V43" s="774"/>
    </row>
    <row r="44" spans="2:22" ht="15.5">
      <c r="B44" s="160"/>
      <c r="C44" s="776" t="s">
        <v>546</v>
      </c>
      <c r="D44" s="776"/>
      <c r="E44" s="777" t="s">
        <v>547</v>
      </c>
      <c r="F44" s="778">
        <f>'A6e. Operations-Site 5'!E44</f>
        <v>0</v>
      </c>
      <c r="G44" s="153"/>
      <c r="H44" s="433"/>
      <c r="I44" s="747"/>
      <c r="J44" s="774"/>
      <c r="K44" s="774"/>
      <c r="L44" s="700"/>
      <c r="M44" s="700"/>
      <c r="N44" s="700"/>
      <c r="O44" s="700"/>
      <c r="P44" s="774"/>
      <c r="Q44" s="774"/>
      <c r="R44" s="774"/>
      <c r="S44" s="774"/>
      <c r="T44" s="774"/>
      <c r="U44" s="774"/>
      <c r="V44" s="774"/>
    </row>
    <row r="45" spans="2:22" ht="15.5">
      <c r="B45" s="160"/>
      <c r="C45" s="776" t="s">
        <v>548</v>
      </c>
      <c r="D45" s="776"/>
      <c r="E45" s="777" t="s">
        <v>549</v>
      </c>
      <c r="F45" s="771">
        <f>'A4. KPIs'!I61</f>
        <v>0</v>
      </c>
      <c r="G45" s="162"/>
      <c r="H45" s="162"/>
      <c r="I45" s="779"/>
      <c r="J45" s="774"/>
      <c r="K45" s="774"/>
      <c r="L45" s="774"/>
      <c r="M45" s="774"/>
      <c r="N45" s="774"/>
      <c r="O45" s="774"/>
      <c r="P45" s="774"/>
      <c r="Q45" s="774"/>
      <c r="R45" s="774"/>
      <c r="S45" s="774"/>
      <c r="T45" s="774"/>
      <c r="U45" s="774"/>
      <c r="V45" s="774"/>
    </row>
    <row r="46" spans="2:22" ht="15.5">
      <c r="B46" s="157"/>
      <c r="C46" s="776"/>
      <c r="D46" s="776"/>
      <c r="E46" s="776"/>
      <c r="F46" s="780"/>
      <c r="G46" s="780"/>
      <c r="H46" s="780"/>
      <c r="I46" s="748"/>
      <c r="J46" s="774"/>
      <c r="K46" s="774"/>
      <c r="L46" s="774"/>
      <c r="M46" s="774"/>
      <c r="N46" s="774"/>
      <c r="O46" s="774"/>
      <c r="P46" s="774"/>
      <c r="Q46" s="774"/>
      <c r="R46" s="774"/>
      <c r="S46" s="774"/>
      <c r="T46" s="774"/>
      <c r="U46" s="774"/>
      <c r="V46" s="774"/>
    </row>
    <row r="47" spans="2:22" ht="15.5">
      <c r="B47" s="781"/>
      <c r="C47" s="775" t="s">
        <v>550</v>
      </c>
      <c r="D47" s="775"/>
      <c r="E47" s="775"/>
      <c r="F47" s="780"/>
      <c r="G47" s="780"/>
      <c r="H47" s="780"/>
      <c r="I47" s="748"/>
      <c r="J47" s="774"/>
      <c r="K47" s="774"/>
      <c r="L47" s="774"/>
      <c r="M47" s="774"/>
      <c r="N47" s="774"/>
      <c r="O47" s="774"/>
      <c r="P47" s="774"/>
      <c r="Q47" s="774"/>
      <c r="R47" s="774"/>
      <c r="S47" s="774"/>
      <c r="T47" s="774"/>
      <c r="U47" s="774"/>
      <c r="V47" s="774"/>
    </row>
    <row r="48" spans="2:22" ht="15.5">
      <c r="B48" s="160"/>
      <c r="C48" s="776" t="s">
        <v>551</v>
      </c>
      <c r="D48" s="776"/>
      <c r="E48" s="777" t="s">
        <v>552</v>
      </c>
      <c r="F48" s="771">
        <f>'A6e. Operations-Site 5'!E46+'A6e. Operations-Site 5'!E47</f>
        <v>0</v>
      </c>
      <c r="G48" s="161"/>
      <c r="H48" s="161"/>
      <c r="I48" s="747" t="str">
        <f>+IFERROR(F48/$F$73,"")</f>
        <v/>
      </c>
      <c r="J48" s="774"/>
      <c r="K48" s="774"/>
      <c r="L48" s="774"/>
      <c r="M48" s="774"/>
      <c r="N48" s="774"/>
      <c r="O48" s="774"/>
      <c r="P48" s="774"/>
      <c r="Q48" s="774"/>
      <c r="R48" s="774"/>
      <c r="S48" s="774"/>
      <c r="T48" s="774"/>
      <c r="U48" s="774"/>
      <c r="V48" s="774"/>
    </row>
    <row r="49" spans="2:22" ht="15.5">
      <c r="B49" s="160"/>
      <c r="C49" s="776" t="s">
        <v>553</v>
      </c>
      <c r="D49" s="776"/>
      <c r="E49" s="163" t="s">
        <v>554</v>
      </c>
      <c r="F49" s="771">
        <f>'A6e. Operations-Site 5'!E48+'A6e. Operations-Site 5'!E49</f>
        <v>0</v>
      </c>
      <c r="G49" s="161"/>
      <c r="H49" s="161"/>
      <c r="I49" s="747" t="str">
        <f t="shared" ref="I49:I52" si="1">+IFERROR(F49/$F$73,"")</f>
        <v/>
      </c>
      <c r="J49" s="774"/>
      <c r="K49" s="774"/>
      <c r="L49" s="774"/>
      <c r="M49" s="774"/>
      <c r="N49" s="774"/>
      <c r="O49" s="774"/>
      <c r="P49" s="774"/>
      <c r="Q49" s="774"/>
      <c r="R49" s="774"/>
      <c r="S49" s="774"/>
      <c r="T49" s="774"/>
      <c r="U49" s="774"/>
      <c r="V49" s="774"/>
    </row>
    <row r="50" spans="2:22" ht="15.5">
      <c r="B50" s="160"/>
      <c r="C50" s="776" t="s">
        <v>555</v>
      </c>
      <c r="D50" s="776"/>
      <c r="E50" s="163" t="s">
        <v>556</v>
      </c>
      <c r="F50" s="771">
        <f>'A6e. Operations-Site 5'!E50</f>
        <v>0</v>
      </c>
      <c r="G50" s="161"/>
      <c r="H50" s="161"/>
      <c r="I50" s="747" t="str">
        <f t="shared" si="1"/>
        <v/>
      </c>
      <c r="J50" s="774"/>
      <c r="K50" s="774"/>
      <c r="L50" s="774"/>
      <c r="M50" s="774"/>
      <c r="N50" s="774"/>
      <c r="O50" s="774"/>
      <c r="P50" s="774"/>
      <c r="Q50" s="774"/>
      <c r="R50" s="774"/>
      <c r="S50" s="774"/>
      <c r="T50" s="774"/>
      <c r="U50" s="774"/>
      <c r="V50" s="774"/>
    </row>
    <row r="51" spans="2:22" ht="15.5">
      <c r="B51" s="160"/>
      <c r="C51" s="776" t="s">
        <v>557</v>
      </c>
      <c r="D51" s="776"/>
      <c r="E51" s="163" t="s">
        <v>558</v>
      </c>
      <c r="F51" s="771">
        <f>'A6e. Operations-Site 5'!E51</f>
        <v>0</v>
      </c>
      <c r="G51" s="161"/>
      <c r="H51" s="161"/>
      <c r="I51" s="747" t="str">
        <f t="shared" si="1"/>
        <v/>
      </c>
      <c r="J51" s="774"/>
      <c r="K51" s="774"/>
      <c r="L51" s="774"/>
      <c r="M51" s="774"/>
      <c r="N51" s="774"/>
      <c r="O51" s="774"/>
      <c r="P51" s="774"/>
      <c r="Q51" s="774"/>
      <c r="R51" s="774"/>
      <c r="S51" s="774"/>
      <c r="T51" s="774"/>
      <c r="U51" s="774"/>
      <c r="V51" s="774"/>
    </row>
    <row r="52" spans="2:22" ht="15.5">
      <c r="B52" s="160"/>
      <c r="C52" s="776" t="s">
        <v>559</v>
      </c>
      <c r="D52" s="776"/>
      <c r="E52" s="163" t="s">
        <v>560</v>
      </c>
      <c r="F52" s="771">
        <f>'A6e. Operations-Site 5'!E52</f>
        <v>0</v>
      </c>
      <c r="G52" s="161"/>
      <c r="H52" s="161"/>
      <c r="I52" s="747" t="str">
        <f t="shared" si="1"/>
        <v/>
      </c>
      <c r="J52" s="774"/>
      <c r="K52" s="774"/>
      <c r="L52" s="774"/>
      <c r="M52" s="774"/>
      <c r="N52" s="774"/>
      <c r="O52" s="774"/>
      <c r="P52" s="774"/>
      <c r="Q52" s="774"/>
      <c r="R52" s="774"/>
      <c r="S52" s="774"/>
      <c r="T52" s="774"/>
      <c r="U52" s="774"/>
      <c r="V52" s="774"/>
    </row>
    <row r="53" spans="2:22" ht="15.5">
      <c r="B53" s="160"/>
      <c r="C53" s="776" t="s">
        <v>561</v>
      </c>
      <c r="D53" s="776"/>
      <c r="E53" s="163" t="s">
        <v>562</v>
      </c>
      <c r="F53" s="771">
        <f>'A4. KPIs'!I62</f>
        <v>0</v>
      </c>
      <c r="G53" s="164"/>
      <c r="H53" s="164"/>
      <c r="I53" s="749"/>
      <c r="J53" s="774"/>
      <c r="K53" s="774"/>
      <c r="L53" s="774"/>
      <c r="M53" s="774"/>
      <c r="N53" s="774"/>
      <c r="O53" s="774"/>
      <c r="P53" s="774"/>
      <c r="Q53" s="774"/>
      <c r="R53" s="774"/>
      <c r="S53" s="774"/>
      <c r="T53" s="774"/>
      <c r="U53" s="774"/>
      <c r="V53" s="774"/>
    </row>
    <row r="54" spans="2:22" ht="15.5">
      <c r="B54" s="157"/>
      <c r="C54" s="776"/>
      <c r="D54" s="776"/>
      <c r="E54" s="133"/>
      <c r="F54" s="780"/>
      <c r="G54" s="780"/>
      <c r="H54" s="780"/>
      <c r="I54" s="748"/>
      <c r="J54" s="774"/>
      <c r="K54" s="774"/>
      <c r="L54" s="774"/>
      <c r="M54" s="774"/>
      <c r="N54" s="774"/>
      <c r="O54" s="774"/>
      <c r="P54" s="774"/>
      <c r="Q54" s="774"/>
      <c r="R54" s="774"/>
      <c r="S54" s="774"/>
      <c r="T54" s="774"/>
      <c r="U54" s="774"/>
      <c r="V54" s="774"/>
    </row>
    <row r="55" spans="2:22" ht="15.5">
      <c r="B55" s="781"/>
      <c r="C55" s="775" t="s">
        <v>231</v>
      </c>
      <c r="D55" s="775"/>
      <c r="E55" s="133"/>
      <c r="F55" s="780"/>
      <c r="G55" s="780"/>
      <c r="H55" s="780"/>
      <c r="I55" s="748"/>
      <c r="J55" s="774"/>
      <c r="K55" s="774"/>
      <c r="L55" s="774"/>
      <c r="M55" s="774"/>
      <c r="N55" s="774"/>
      <c r="O55" s="774"/>
      <c r="P55" s="774"/>
      <c r="Q55" s="774"/>
      <c r="R55" s="774"/>
      <c r="S55" s="774"/>
      <c r="T55" s="774"/>
      <c r="U55" s="774"/>
      <c r="V55" s="774"/>
    </row>
    <row r="56" spans="2:22" ht="15.5">
      <c r="B56" s="160"/>
      <c r="C56" s="776" t="s">
        <v>563</v>
      </c>
      <c r="D56" s="776"/>
      <c r="E56" s="163" t="s">
        <v>564</v>
      </c>
      <c r="F56" s="771">
        <f>'A6e. Operations-Site 5'!E67</f>
        <v>0</v>
      </c>
      <c r="G56" s="153"/>
      <c r="H56" s="153"/>
      <c r="I56" s="747" t="str">
        <f>+IFERROR(F56/$F$73,"")</f>
        <v/>
      </c>
      <c r="J56" s="774"/>
      <c r="K56" s="774"/>
      <c r="L56" s="774"/>
      <c r="M56" s="774"/>
      <c r="N56" s="774"/>
      <c r="O56" s="774"/>
      <c r="P56" s="774"/>
      <c r="Q56" s="774"/>
      <c r="R56" s="774"/>
      <c r="S56" s="774"/>
      <c r="T56" s="774"/>
      <c r="U56" s="774"/>
      <c r="V56" s="774"/>
    </row>
    <row r="57" spans="2:22" ht="15.5">
      <c r="B57" s="160"/>
      <c r="C57" s="776" t="s">
        <v>565</v>
      </c>
      <c r="D57" s="776"/>
      <c r="E57" s="163" t="s">
        <v>566</v>
      </c>
      <c r="F57" s="771">
        <f>'A6e. Operations-Site 5'!E63</f>
        <v>0</v>
      </c>
      <c r="G57" s="153"/>
      <c r="H57" s="153"/>
      <c r="I57" s="747" t="str">
        <f t="shared" ref="I57:I60" si="2">+IFERROR(F57/$F$73,"")</f>
        <v/>
      </c>
      <c r="J57" s="774"/>
      <c r="K57" s="774"/>
      <c r="L57" s="774"/>
      <c r="M57" s="774"/>
      <c r="N57" s="774"/>
      <c r="O57" s="774"/>
      <c r="P57" s="774"/>
      <c r="Q57" s="774"/>
      <c r="R57" s="774"/>
      <c r="S57" s="774"/>
      <c r="T57" s="774"/>
      <c r="U57" s="774"/>
      <c r="V57" s="774"/>
    </row>
    <row r="58" spans="2:22" ht="34.5" customHeight="1">
      <c r="B58" s="160"/>
      <c r="C58" s="133" t="s">
        <v>567</v>
      </c>
      <c r="D58" s="776"/>
      <c r="E58" s="163" t="s">
        <v>568</v>
      </c>
      <c r="F58" s="771">
        <f>'A6e. Operations-Site 5'!E82</f>
        <v>0</v>
      </c>
      <c r="G58" s="153"/>
      <c r="H58" s="153"/>
      <c r="I58" s="747" t="str">
        <f t="shared" si="2"/>
        <v/>
      </c>
      <c r="J58" s="774"/>
      <c r="K58" s="774"/>
      <c r="L58" s="774"/>
      <c r="M58" s="774"/>
      <c r="N58" s="774"/>
      <c r="O58" s="774"/>
      <c r="P58" s="774"/>
      <c r="Q58" s="774"/>
      <c r="R58" s="774"/>
      <c r="S58" s="774"/>
      <c r="T58" s="774"/>
      <c r="U58" s="774"/>
      <c r="V58" s="774"/>
    </row>
    <row r="59" spans="2:22" ht="15.5">
      <c r="B59" s="160"/>
      <c r="C59" s="776" t="s">
        <v>569</v>
      </c>
      <c r="D59" s="776"/>
      <c r="E59" s="163" t="s">
        <v>570</v>
      </c>
      <c r="F59" s="771">
        <f>'A6e. Operations-Site 5'!E64</f>
        <v>0</v>
      </c>
      <c r="G59" s="153"/>
      <c r="H59" s="153"/>
      <c r="I59" s="747" t="str">
        <f t="shared" si="2"/>
        <v/>
      </c>
      <c r="J59" s="774"/>
      <c r="K59" s="774"/>
      <c r="L59" s="774"/>
      <c r="M59" s="774"/>
      <c r="N59" s="774"/>
      <c r="O59" s="774"/>
      <c r="P59" s="774"/>
      <c r="Q59" s="774"/>
      <c r="R59" s="774"/>
      <c r="S59" s="774"/>
      <c r="T59" s="774"/>
      <c r="U59" s="774"/>
      <c r="V59" s="774"/>
    </row>
    <row r="60" spans="2:22" ht="15.5">
      <c r="B60" s="160"/>
      <c r="C60" s="776" t="s">
        <v>571</v>
      </c>
      <c r="D60" s="776"/>
      <c r="E60" s="163" t="s">
        <v>572</v>
      </c>
      <c r="F60" s="771">
        <f>'A6e. Operations-Site 5'!E69</f>
        <v>0</v>
      </c>
      <c r="G60" s="153"/>
      <c r="H60" s="153"/>
      <c r="I60" s="747" t="str">
        <f t="shared" si="2"/>
        <v/>
      </c>
      <c r="J60" s="774"/>
      <c r="K60" s="774"/>
      <c r="L60" s="774"/>
      <c r="M60" s="774"/>
      <c r="N60" s="774"/>
      <c r="O60" s="774"/>
      <c r="P60" s="774"/>
      <c r="Q60" s="774"/>
      <c r="R60" s="774"/>
      <c r="S60" s="774"/>
      <c r="T60" s="774"/>
      <c r="U60" s="774"/>
      <c r="V60" s="774"/>
    </row>
    <row r="61" spans="2:22" ht="15.5">
      <c r="B61" s="157"/>
      <c r="C61" s="133"/>
      <c r="D61" s="133"/>
      <c r="E61" s="133"/>
      <c r="F61" s="133"/>
      <c r="G61" s="133"/>
      <c r="H61" s="133"/>
      <c r="I61" s="782"/>
      <c r="J61" s="774"/>
      <c r="K61" s="774"/>
      <c r="L61" s="774"/>
      <c r="M61" s="774"/>
      <c r="N61" s="774"/>
      <c r="O61" s="774"/>
      <c r="P61" s="774"/>
      <c r="Q61" s="774"/>
      <c r="R61" s="774"/>
      <c r="S61" s="774"/>
      <c r="T61" s="774"/>
      <c r="U61" s="774"/>
      <c r="V61" s="774"/>
    </row>
    <row r="62" spans="2:22" ht="15.5">
      <c r="B62" s="157"/>
      <c r="C62" s="775" t="s">
        <v>89</v>
      </c>
      <c r="D62" s="775"/>
      <c r="E62" s="775"/>
      <c r="F62" s="1"/>
      <c r="G62" s="1"/>
      <c r="H62" s="1"/>
      <c r="I62" s="748"/>
      <c r="J62" s="774"/>
      <c r="K62" s="774"/>
      <c r="L62" s="774"/>
      <c r="M62" s="774"/>
      <c r="N62" s="774"/>
      <c r="O62" s="774"/>
      <c r="P62" s="774"/>
      <c r="Q62" s="774"/>
      <c r="R62" s="774"/>
      <c r="S62" s="774"/>
      <c r="T62" s="774"/>
      <c r="U62" s="774"/>
      <c r="V62" s="774"/>
    </row>
    <row r="63" spans="2:22" ht="22.5" customHeight="1">
      <c r="B63" s="783"/>
      <c r="C63" s="136" t="s">
        <v>573</v>
      </c>
      <c r="D63" s="136"/>
      <c r="E63" s="784" t="s">
        <v>574</v>
      </c>
      <c r="F63" s="785">
        <f>'A6e. Operations-Site 5'!E54+'A6e. Operations-Site 5'!E56+'A6e. Operations-Site 5'!E58+'A6e. Operations-Site 5'!E60</f>
        <v>0</v>
      </c>
      <c r="G63" s="165"/>
      <c r="H63" s="165"/>
      <c r="I63" s="747" t="str">
        <f>+IFERROR(F63/$F$73,"")</f>
        <v/>
      </c>
      <c r="J63" s="774"/>
      <c r="K63" s="774"/>
      <c r="L63" s="774"/>
      <c r="M63" s="774"/>
      <c r="N63" s="774"/>
      <c r="O63" s="774"/>
      <c r="P63" s="774"/>
      <c r="Q63" s="774"/>
      <c r="R63" s="774"/>
      <c r="S63" s="774"/>
      <c r="T63" s="774"/>
      <c r="U63" s="774"/>
      <c r="V63" s="774"/>
    </row>
    <row r="64" spans="2:22" ht="15">
      <c r="B64" s="783"/>
      <c r="C64" s="136" t="s">
        <v>575</v>
      </c>
      <c r="D64" s="136"/>
      <c r="E64" s="784" t="s">
        <v>576</v>
      </c>
      <c r="F64" s="786">
        <f>'A6e. Operations-Site 5'!E55+'A6e. Operations-Site 5'!E57</f>
        <v>0</v>
      </c>
      <c r="G64" s="165"/>
      <c r="H64" s="165"/>
      <c r="I64" s="747" t="str">
        <f t="shared" ref="I64:I70" si="3">+IFERROR(F64/$F$73,"")</f>
        <v/>
      </c>
      <c r="J64" s="774"/>
      <c r="K64" s="774"/>
      <c r="L64" s="774"/>
      <c r="M64" s="774"/>
      <c r="N64" s="774"/>
      <c r="O64" s="774"/>
      <c r="P64" s="774"/>
      <c r="Q64" s="774"/>
      <c r="R64" s="774"/>
      <c r="S64" s="774"/>
      <c r="T64" s="774"/>
      <c r="U64" s="774"/>
      <c r="V64" s="774"/>
    </row>
    <row r="65" spans="2:22" ht="15">
      <c r="B65" s="783"/>
      <c r="C65" s="136" t="s">
        <v>577</v>
      </c>
      <c r="D65" s="136"/>
      <c r="E65" s="784" t="s">
        <v>578</v>
      </c>
      <c r="F65" s="785">
        <f>'A6e. Operations-Site 5'!E72+'A6e. Operations-Site 5'!E73+'A6e. Operations-Site 5'!E74</f>
        <v>0</v>
      </c>
      <c r="G65" s="165"/>
      <c r="H65" s="165"/>
      <c r="I65" s="747" t="str">
        <f t="shared" si="3"/>
        <v/>
      </c>
      <c r="J65" s="774"/>
      <c r="K65" s="774"/>
      <c r="L65" s="774"/>
      <c r="M65" s="774"/>
      <c r="N65" s="774"/>
      <c r="O65" s="774"/>
      <c r="P65" s="774"/>
      <c r="Q65" s="774"/>
      <c r="R65" s="774"/>
      <c r="S65" s="774"/>
      <c r="T65" s="774"/>
      <c r="U65" s="774"/>
      <c r="V65" s="774"/>
    </row>
    <row r="66" spans="2:22" ht="30">
      <c r="B66" s="783"/>
      <c r="C66" s="136" t="s">
        <v>579</v>
      </c>
      <c r="D66" s="136"/>
      <c r="E66" s="784" t="s">
        <v>580</v>
      </c>
      <c r="F66" s="785">
        <f>'A6e. Operations-Site 5'!E65+'A6e. Operations-Site 5'!E68+'A6e. Operations-Site 5'!E81+'A6e. Operations-Site 5'!E88+'A6e. Operations-Site 5'!E94</f>
        <v>0</v>
      </c>
      <c r="G66" s="165"/>
      <c r="H66" s="165"/>
      <c r="I66" s="747" t="str">
        <f t="shared" si="3"/>
        <v/>
      </c>
      <c r="J66" s="774"/>
      <c r="K66" s="774"/>
      <c r="L66" s="774"/>
      <c r="M66" s="774"/>
      <c r="N66" s="774"/>
      <c r="O66" s="774"/>
      <c r="P66" s="774"/>
      <c r="Q66" s="774"/>
      <c r="R66" s="774"/>
      <c r="S66" s="774"/>
      <c r="T66" s="774"/>
      <c r="U66" s="774"/>
      <c r="V66" s="774"/>
    </row>
    <row r="67" spans="2:22" ht="15">
      <c r="B67" s="783"/>
      <c r="C67" s="136" t="s">
        <v>581</v>
      </c>
      <c r="D67" s="136"/>
      <c r="E67" s="784" t="s">
        <v>582</v>
      </c>
      <c r="F67" s="785">
        <f>'A6e. Operations-Site 5'!E77+'A6e. Operations-Site 5'!E78</f>
        <v>0</v>
      </c>
      <c r="G67" s="165"/>
      <c r="H67" s="165"/>
      <c r="I67" s="747" t="str">
        <f t="shared" si="3"/>
        <v/>
      </c>
      <c r="J67" s="774"/>
      <c r="K67" s="774"/>
      <c r="L67" s="774"/>
      <c r="M67" s="774"/>
      <c r="N67" s="774"/>
      <c r="O67" s="774"/>
      <c r="P67" s="774"/>
      <c r="Q67" s="774"/>
      <c r="R67" s="774"/>
      <c r="S67" s="774"/>
      <c r="T67" s="774"/>
      <c r="U67" s="774"/>
      <c r="V67" s="774"/>
    </row>
    <row r="68" spans="2:22" ht="15">
      <c r="B68" s="783"/>
      <c r="C68" s="136" t="s">
        <v>583</v>
      </c>
      <c r="D68" s="136"/>
      <c r="E68" s="784" t="s">
        <v>584</v>
      </c>
      <c r="F68" s="785">
        <f>'A6e. Operations-Site 5'!E66+'A6e. Operations-Site 5'!E105</f>
        <v>0</v>
      </c>
      <c r="G68" s="165"/>
      <c r="H68" s="165"/>
      <c r="I68" s="747" t="str">
        <f>+IFERROR(F68/$F$73,"")</f>
        <v/>
      </c>
      <c r="J68" s="774"/>
      <c r="K68" s="774"/>
      <c r="L68" s="774"/>
      <c r="M68" s="774"/>
      <c r="N68" s="774"/>
      <c r="O68" s="774"/>
      <c r="P68" s="774"/>
      <c r="Q68" s="774"/>
      <c r="R68" s="774"/>
      <c r="S68" s="774"/>
      <c r="T68" s="774"/>
      <c r="U68" s="774"/>
      <c r="V68" s="774"/>
    </row>
    <row r="69" spans="2:22" ht="15">
      <c r="B69" s="783"/>
      <c r="C69" s="136" t="s">
        <v>585</v>
      </c>
      <c r="D69" s="136"/>
      <c r="E69" s="784" t="s">
        <v>586</v>
      </c>
      <c r="F69" s="785">
        <f>'A6e. Operations-Site 5'!E89+'A6e. Operations-Site 5'!E90</f>
        <v>0</v>
      </c>
      <c r="G69" s="165"/>
      <c r="H69" s="165"/>
      <c r="I69" s="747" t="str">
        <f t="shared" si="3"/>
        <v/>
      </c>
      <c r="J69" s="774"/>
      <c r="K69" s="774"/>
      <c r="L69" s="774"/>
      <c r="M69" s="774"/>
      <c r="N69" s="774"/>
      <c r="O69" s="774"/>
      <c r="P69" s="774"/>
      <c r="Q69" s="774"/>
      <c r="R69" s="774"/>
      <c r="S69" s="774"/>
      <c r="T69" s="774"/>
      <c r="U69" s="774"/>
      <c r="V69" s="774"/>
    </row>
    <row r="70" spans="2:22" ht="15" hidden="1">
      <c r="B70" s="783"/>
      <c r="C70" s="136" t="s">
        <v>587</v>
      </c>
      <c r="D70" s="136"/>
      <c r="E70" s="784" t="s">
        <v>588</v>
      </c>
      <c r="F70" s="785"/>
      <c r="G70" s="165"/>
      <c r="H70" s="165"/>
      <c r="I70" s="747" t="str">
        <f t="shared" si="3"/>
        <v/>
      </c>
      <c r="J70" s="774"/>
      <c r="K70" s="774"/>
      <c r="L70" s="774"/>
      <c r="M70" s="774"/>
      <c r="N70" s="774"/>
      <c r="O70" s="774"/>
      <c r="P70" s="774"/>
      <c r="Q70" s="774"/>
      <c r="R70" s="774"/>
      <c r="S70" s="774"/>
      <c r="T70" s="774"/>
      <c r="U70" s="774"/>
      <c r="V70" s="774"/>
    </row>
    <row r="71" spans="2:22" ht="15">
      <c r="B71" s="783"/>
      <c r="C71" s="136" t="s">
        <v>589</v>
      </c>
      <c r="D71" s="136"/>
      <c r="E71" s="784" t="s">
        <v>590</v>
      </c>
      <c r="F71" s="963">
        <f>'A6e. Operations-Site 5'!E84+'A6e. Operations-Site 5'!E85+'A6e. Operations-Site 5'!E86+'A6e. Operations-Site 5'!E87+'A6e. Operations-Site 5'!E91+'A6e. Operations-Site 5'!E92+'A6e. Operations-Site 5'!E93+'A6e. Operations-Site 5'!E95+'A6e. Operations-Site 5'!E96+'A6e. Operations-Site 5'!E98+'A6e. Operations-Site 5'!E99+'A6e. Operations-Site 5'!E100+'A6e. Operations-Site 5'!E101+'A6e. Operations-Site 5'!E107+'A6e. Operations-Site 5'!E108</f>
        <v>0</v>
      </c>
      <c r="G71" s="165"/>
      <c r="H71" s="165"/>
      <c r="I71" s="747" t="str">
        <f>+IFERROR(F71/$F$73,"")</f>
        <v/>
      </c>
      <c r="J71" s="774"/>
      <c r="K71" s="774"/>
      <c r="L71" s="774"/>
      <c r="M71" s="774"/>
      <c r="N71" s="774"/>
      <c r="O71" s="774"/>
      <c r="P71" s="774"/>
      <c r="Q71" s="774"/>
      <c r="R71" s="774"/>
      <c r="S71" s="774"/>
      <c r="T71" s="774"/>
      <c r="U71" s="774"/>
      <c r="V71" s="774"/>
    </row>
    <row r="72" spans="2:22" ht="15.5">
      <c r="B72" s="157"/>
      <c r="C72" s="776"/>
      <c r="D72" s="776"/>
      <c r="E72" s="776"/>
      <c r="F72" s="780"/>
      <c r="G72" s="780"/>
      <c r="H72" s="780"/>
      <c r="I72" s="787"/>
      <c r="J72" s="774"/>
      <c r="K72" s="774"/>
      <c r="L72" s="774"/>
      <c r="M72" s="774"/>
      <c r="N72" s="774"/>
      <c r="O72" s="774"/>
      <c r="P72" s="774"/>
      <c r="Q72" s="774"/>
      <c r="R72" s="774"/>
      <c r="S72" s="774"/>
      <c r="T72" s="774"/>
      <c r="U72" s="774"/>
      <c r="V72" s="774"/>
    </row>
    <row r="73" spans="2:22" ht="30.5">
      <c r="B73" s="157"/>
      <c r="C73" s="788" t="s">
        <v>591</v>
      </c>
      <c r="D73" s="788"/>
      <c r="E73" s="788"/>
      <c r="F73" s="166">
        <f>+SUM(F40:F44,F48:F52,F56:F60,F63:F71)</f>
        <v>0</v>
      </c>
      <c r="G73" s="166"/>
      <c r="H73" s="166"/>
      <c r="I73" s="750">
        <f>+SUM(I40:I72)</f>
        <v>0</v>
      </c>
      <c r="J73" s="774"/>
      <c r="K73" s="774"/>
      <c r="L73" s="774"/>
      <c r="M73" s="774"/>
      <c r="N73" s="774"/>
      <c r="O73" s="774"/>
      <c r="P73" s="774"/>
      <c r="Q73" s="774"/>
      <c r="R73" s="774"/>
      <c r="S73" s="774"/>
      <c r="T73" s="774"/>
      <c r="U73" s="774"/>
      <c r="V73" s="774"/>
    </row>
    <row r="74" spans="2:22" ht="15.5">
      <c r="B74" s="157"/>
      <c r="C74" s="788"/>
      <c r="D74" s="788"/>
      <c r="E74" s="788"/>
      <c r="G74" s="166"/>
      <c r="H74" s="166"/>
      <c r="I74" s="434"/>
      <c r="J74" s="774"/>
      <c r="K74" s="774"/>
      <c r="L74" s="774"/>
      <c r="M74" s="774"/>
      <c r="N74" s="774"/>
      <c r="O74" s="774"/>
      <c r="P74" s="774"/>
      <c r="Q74" s="774"/>
      <c r="R74" s="774"/>
      <c r="S74" s="774"/>
      <c r="T74" s="774"/>
      <c r="U74" s="774"/>
      <c r="V74" s="774"/>
    </row>
    <row r="75" spans="2:22" ht="15.5">
      <c r="B75" s="160"/>
      <c r="C75" s="776" t="s">
        <v>592</v>
      </c>
      <c r="D75" s="776"/>
      <c r="E75" s="789" t="s">
        <v>593</v>
      </c>
      <c r="F75" s="771">
        <f>'A3. Peel Region Grants'!H81+'A3. Peel Region Grants'!H122</f>
        <v>0</v>
      </c>
      <c r="G75" s="153"/>
      <c r="H75" s="153"/>
      <c r="I75" s="211"/>
      <c r="J75" s="774"/>
      <c r="K75" s="774"/>
      <c r="L75" s="774"/>
      <c r="M75" s="774"/>
      <c r="N75" s="774"/>
      <c r="O75" s="774"/>
      <c r="P75" s="774"/>
      <c r="Q75" s="774"/>
      <c r="R75" s="774"/>
      <c r="S75" s="774"/>
      <c r="T75" s="774"/>
      <c r="U75" s="774"/>
      <c r="V75" s="774"/>
    </row>
    <row r="76" spans="2:22" ht="15.5">
      <c r="B76" s="1"/>
      <c r="C76" s="133"/>
      <c r="D76" s="133"/>
      <c r="E76" s="133"/>
      <c r="F76" s="1"/>
      <c r="G76" s="1"/>
      <c r="H76" s="1"/>
      <c r="I76" s="595"/>
      <c r="J76" s="774"/>
      <c r="K76" s="774"/>
      <c r="L76" s="774"/>
      <c r="M76" s="774"/>
      <c r="N76" s="774"/>
      <c r="O76" s="774"/>
      <c r="P76" s="774"/>
      <c r="Q76" s="774"/>
      <c r="R76" s="774"/>
      <c r="S76" s="774"/>
      <c r="T76" s="774"/>
      <c r="U76" s="774"/>
      <c r="V76" s="774"/>
    </row>
    <row r="77" spans="2:22" ht="30.5">
      <c r="B77" s="1"/>
      <c r="C77" s="788" t="s">
        <v>594</v>
      </c>
      <c r="D77" s="788"/>
      <c r="E77" s="788"/>
      <c r="F77" s="166">
        <f>+F73+F75</f>
        <v>0</v>
      </c>
      <c r="G77" s="166"/>
      <c r="H77" s="166"/>
      <c r="I77" s="434"/>
      <c r="J77" s="774"/>
      <c r="K77" s="774"/>
      <c r="L77" s="774"/>
      <c r="M77" s="774"/>
      <c r="N77" s="774"/>
      <c r="O77" s="774"/>
      <c r="P77" s="774"/>
      <c r="Q77" s="774"/>
      <c r="R77" s="774"/>
      <c r="S77" s="774"/>
      <c r="T77" s="774"/>
      <c r="U77" s="774"/>
      <c r="V77" s="774"/>
    </row>
    <row r="78" spans="2:22" ht="15.5">
      <c r="B78" s="1"/>
      <c r="C78" s="133"/>
      <c r="D78" s="133"/>
      <c r="E78" s="133"/>
      <c r="F78" s="130"/>
      <c r="G78" s="131"/>
      <c r="H78" s="131"/>
      <c r="I78" s="595"/>
      <c r="J78" s="774"/>
      <c r="K78" s="774"/>
      <c r="L78" s="774"/>
      <c r="M78" s="774"/>
      <c r="N78" s="774"/>
      <c r="O78" s="774"/>
      <c r="P78" s="774"/>
      <c r="Q78" s="774"/>
      <c r="R78" s="774"/>
      <c r="S78" s="774"/>
      <c r="T78" s="774"/>
      <c r="U78" s="774"/>
      <c r="V78" s="774"/>
    </row>
    <row r="79" spans="2:22" ht="30.5">
      <c r="B79" s="1"/>
      <c r="C79" s="790" t="str">
        <f>"Of the "&amp;TEXT(F77,"$#,###.00")&amp;", how much was specifically spent to support the inclusion of eligible children with special needs?"</f>
        <v>Of the $.00, how much was specifically spent to support the inclusion of eligible children with special needs?</v>
      </c>
      <c r="D79" s="788"/>
      <c r="E79" s="789" t="s">
        <v>595</v>
      </c>
      <c r="F79" s="771">
        <f>'A4. KPIs'!I54</f>
        <v>0</v>
      </c>
      <c r="G79" s="166"/>
      <c r="H79" s="166"/>
      <c r="I79" s="434"/>
      <c r="J79" s="774"/>
      <c r="K79" s="774"/>
      <c r="L79" s="774"/>
      <c r="M79" s="774"/>
      <c r="N79" s="774"/>
      <c r="O79" s="774"/>
      <c r="P79" s="774"/>
      <c r="Q79" s="774"/>
      <c r="R79" s="774"/>
      <c r="S79" s="774"/>
      <c r="T79" s="774"/>
      <c r="U79" s="774"/>
      <c r="V79" s="774"/>
    </row>
    <row r="80" spans="2:22" ht="15.5">
      <c r="B80" s="1"/>
      <c r="C80" s="133"/>
      <c r="D80" s="133"/>
      <c r="E80" s="133"/>
      <c r="F80" s="1"/>
      <c r="G80" s="1"/>
      <c r="H80" s="1"/>
      <c r="I80" s="595"/>
      <c r="J80" s="774"/>
      <c r="K80" s="774"/>
      <c r="L80" s="774"/>
      <c r="M80" s="774"/>
      <c r="N80" s="774"/>
      <c r="O80" s="774"/>
      <c r="P80" s="774"/>
      <c r="Q80" s="774"/>
      <c r="R80" s="774"/>
      <c r="S80" s="774"/>
      <c r="T80" s="774"/>
      <c r="U80" s="774"/>
      <c r="V80" s="774"/>
    </row>
    <row r="81" spans="2:22" ht="15.5">
      <c r="B81" s="148"/>
      <c r="C81" s="776" t="s">
        <v>596</v>
      </c>
      <c r="D81" s="776"/>
      <c r="E81" s="791"/>
      <c r="F81" s="1" t="s">
        <v>597</v>
      </c>
      <c r="G81" s="148"/>
      <c r="H81" s="148"/>
      <c r="I81" s="1" t="s">
        <v>598</v>
      </c>
      <c r="J81" s="774"/>
      <c r="K81" s="774"/>
      <c r="L81" s="774"/>
      <c r="M81" s="774"/>
      <c r="N81" s="774"/>
      <c r="O81" s="774"/>
      <c r="P81" s="774"/>
      <c r="Q81" s="774"/>
      <c r="R81" s="774"/>
      <c r="S81" s="774"/>
      <c r="T81" s="774"/>
      <c r="U81" s="774"/>
      <c r="V81" s="774"/>
    </row>
    <row r="82" spans="2:22" ht="15">
      <c r="B82" s="167" t="s">
        <v>599</v>
      </c>
      <c r="C82" s="792">
        <f>'A1. Identification'!D14</f>
        <v>0</v>
      </c>
      <c r="D82" s="168"/>
      <c r="E82" s="167" t="s">
        <v>600</v>
      </c>
      <c r="F82" s="793">
        <f>'A1. Identification'!D15</f>
        <v>0</v>
      </c>
      <c r="G82" s="169"/>
      <c r="H82" s="167" t="s">
        <v>601</v>
      </c>
      <c r="I82" s="794">
        <f>'A1. Identification'!D16</f>
        <v>0</v>
      </c>
    </row>
    <row r="85" spans="2:22" ht="17.5">
      <c r="B85" s="769" t="s">
        <v>602</v>
      </c>
      <c r="C85" s="133"/>
      <c r="D85" s="133"/>
      <c r="E85" s="133"/>
      <c r="F85" s="149"/>
      <c r="G85" s="170"/>
      <c r="H85" s="170"/>
      <c r="I85" s="773"/>
    </row>
    <row r="86" spans="2:22" ht="17.5">
      <c r="B86" s="769"/>
      <c r="C86" s="133"/>
      <c r="D86" s="133"/>
      <c r="E86" s="133"/>
      <c r="F86" s="149"/>
      <c r="G86" s="170"/>
      <c r="H86" s="170"/>
      <c r="I86" s="773"/>
    </row>
    <row r="87" spans="2:22" ht="17.5">
      <c r="B87" s="769"/>
      <c r="C87" s="1" t="s">
        <v>603</v>
      </c>
      <c r="D87" s="148"/>
      <c r="E87" s="133"/>
      <c r="F87" s="130"/>
      <c r="G87" s="170"/>
      <c r="H87" s="170"/>
      <c r="I87" s="773"/>
    </row>
    <row r="88" spans="2:22" ht="15.5">
      <c r="B88" s="167" t="s">
        <v>604</v>
      </c>
      <c r="C88" s="795">
        <f>'A1. Identification'!D17</f>
        <v>0</v>
      </c>
      <c r="D88" s="171"/>
      <c r="E88" s="133"/>
      <c r="F88" s="149"/>
      <c r="G88" s="170"/>
      <c r="H88" s="170"/>
      <c r="I88" s="773"/>
    </row>
    <row r="89" spans="2:22" ht="17.5">
      <c r="B89" s="769"/>
      <c r="C89" s="172" t="str">
        <f>IF(AND(C88="",F10=""),"WARNING: Signing Officer and License Number are needed to complete attestation.","")</f>
        <v/>
      </c>
      <c r="D89" s="171"/>
      <c r="E89" s="133"/>
      <c r="F89" s="150"/>
      <c r="G89" s="170"/>
      <c r="H89" s="170"/>
      <c r="I89" s="773"/>
    </row>
    <row r="90" spans="2:22" ht="15.5">
      <c r="B90" s="1"/>
      <c r="C90" s="796" t="str">
        <f>IF(C88="","[The attestation text will appear once box 4C is completed]","Attestation")</f>
        <v>Attestation</v>
      </c>
      <c r="D90" s="173"/>
      <c r="E90" s="133"/>
      <c r="F90" s="149"/>
      <c r="G90" s="149"/>
      <c r="H90" s="149"/>
      <c r="I90" s="773"/>
    </row>
    <row r="91" spans="2:22" ht="15.5">
      <c r="B91" s="1"/>
      <c r="C91" s="174" t="str">
        <f>IF(C88="","","I, "&amp;C88&amp;", confirm that:")</f>
        <v>I, 0, confirm that:</v>
      </c>
      <c r="D91" s="173"/>
      <c r="E91" s="133"/>
      <c r="F91" s="1"/>
      <c r="G91" s="149"/>
      <c r="H91" s="149"/>
      <c r="I91" s="773"/>
    </row>
    <row r="92" spans="2:22" ht="15.5">
      <c r="B92" s="1"/>
      <c r="C92" s="175" t="str">
        <f>IF(C88="",""," I have signing authority with respect to licence # "&amp;F8&amp;".")</f>
        <v xml:space="preserve"> I have signing authority with respect to licence # 0.</v>
      </c>
      <c r="D92" s="173"/>
      <c r="E92" s="133"/>
      <c r="F92" s="149"/>
      <c r="G92" s="149"/>
      <c r="H92" s="149"/>
      <c r="I92" s="773"/>
    </row>
    <row r="93" spans="2:22" ht="55.5" customHeight="1">
      <c r="B93" s="1"/>
      <c r="C93" s="175" t="str">
        <f>IF(C88="","","The information contained in this Standardized Financial Report for the reporting year "&amp;F14&amp;" is accurate and a true reflection of the eligible costs incurred by the licensee for which cost-based funding was used.")</f>
        <v>The information contained in this Standardized Financial Report for the reporting year 2025 is accurate and a true reflection of the eligible costs incurred by the licensee for which cost-based funding was used.</v>
      </c>
      <c r="D93" s="173"/>
      <c r="E93" s="133"/>
      <c r="F93" s="149"/>
      <c r="G93" s="149"/>
      <c r="H93" s="149"/>
      <c r="I93" s="773"/>
    </row>
    <row r="94" spans="2:22" ht="46.5" customHeight="1">
      <c r="B94" s="1"/>
      <c r="C94" s="175" t="str">
        <f>IF(C88="","","Cost-based allocation funding was used by the licensee to cover eligible costs only in accordance with the parameters established by "&amp;F9&amp;". ")</f>
        <v xml:space="preserve">Cost-based allocation funding was used by the licensee to cover eligible costs only in accordance with the parameters established by 0. </v>
      </c>
      <c r="D94" s="173"/>
      <c r="E94" s="133"/>
      <c r="F94" s="149"/>
      <c r="G94" s="149"/>
      <c r="H94" s="149"/>
      <c r="I94" s="773"/>
    </row>
    <row r="95" spans="2:22" ht="20">
      <c r="B95" s="1"/>
      <c r="C95" s="797" t="s">
        <v>605</v>
      </c>
      <c r="D95" s="797"/>
      <c r="E95" s="797"/>
      <c r="F95" s="2" t="s">
        <v>606</v>
      </c>
      <c r="G95" s="148"/>
      <c r="H95" s="148"/>
      <c r="I95" s="1"/>
    </row>
    <row r="96" spans="2:22" ht="20">
      <c r="B96" s="1"/>
      <c r="C96" s="870">
        <f>'A1. Identification'!D26</f>
        <v>0</v>
      </c>
      <c r="D96" s="176"/>
      <c r="E96" s="167" t="s">
        <v>607</v>
      </c>
      <c r="F96" s="798">
        <f>'A1. Identification'!D28</f>
        <v>0</v>
      </c>
      <c r="G96" s="171"/>
      <c r="H96" s="171"/>
      <c r="I96" s="1"/>
    </row>
    <row r="97" spans="2:9" ht="30.5">
      <c r="B97" s="1"/>
      <c r="C97" s="133" t="s">
        <v>608</v>
      </c>
      <c r="D97" s="133"/>
      <c r="E97" s="133"/>
      <c r="F97" s="177"/>
      <c r="G97" s="178"/>
      <c r="H97" s="156"/>
      <c r="I97" s="1"/>
    </row>
  </sheetData>
  <sheetProtection algorithmName="SHA-512" hashValue="8/6c5RCMAZ51Rqoz+Y1eA+oRfDkbKn5JaPosbU00Qj0/XiTdIhGeEV/OerYMOTBFnVZmWReImaucBHHxFz3xDg==" saltValue="OBoKBY9oUn1xrUQ5XTnZ9w==" spinCount="100000" sheet="1" objects="1" scenarios="1"/>
  <mergeCells count="1">
    <mergeCell ref="A1:I1"/>
  </mergeCells>
  <conditionalFormatting sqref="C88:D88 D89:D94">
    <cfRule type="cellIs" dxfId="37" priority="3" operator="notEqual">
      <formula>""</formula>
    </cfRule>
  </conditionalFormatting>
  <conditionalFormatting sqref="C96:D96">
    <cfRule type="notContainsBlanks" dxfId="36" priority="5">
      <formula>LEN(TRIM(C96))&gt;0</formula>
    </cfRule>
  </conditionalFormatting>
  <conditionalFormatting sqref="F21:F26">
    <cfRule type="cellIs" dxfId="35" priority="1" operator="notEqual">
      <formula>""</formula>
    </cfRule>
  </conditionalFormatting>
  <conditionalFormatting sqref="F79">
    <cfRule type="cellIs" dxfId="34" priority="6" operator="notEqual">
      <formula>""</formula>
    </cfRule>
  </conditionalFormatting>
  <conditionalFormatting sqref="F8:H14 H27">
    <cfRule type="cellIs" dxfId="33" priority="10" operator="notEqual">
      <formula>""</formula>
    </cfRule>
  </conditionalFormatting>
  <conditionalFormatting sqref="F18:H18">
    <cfRule type="cellIs" dxfId="32" priority="11" operator="notEqual">
      <formula>""</formula>
    </cfRule>
  </conditionalFormatting>
  <conditionalFormatting sqref="F32:H33 F40:H45 F48:H53 F56:H60 F63:H71 C82:D82 F82:G82 I82">
    <cfRule type="cellIs" dxfId="31" priority="7" operator="notEqual">
      <formula>""</formula>
    </cfRule>
  </conditionalFormatting>
  <conditionalFormatting sqref="F75:H75 C91:C94">
    <cfRule type="cellIs" dxfId="30" priority="2" operator="notEqual">
      <formula>""</formula>
    </cfRule>
  </conditionalFormatting>
  <conditionalFormatting sqref="F96:H96">
    <cfRule type="cellIs" dxfId="29" priority="4" operator="notEqual">
      <formula>""</formula>
    </cfRule>
  </conditionalFormatting>
  <conditionalFormatting sqref="I21:I26">
    <cfRule type="cellIs" dxfId="28" priority="9" operator="notEqual">
      <formula>""</formula>
    </cfRule>
  </conditionalFormatting>
  <conditionalFormatting sqref="I38:I39">
    <cfRule type="top10" dxfId="27" priority="8" percent="1" rank="10"/>
  </conditionalFormatting>
  <dataValidations count="21">
    <dataValidation type="date" operator="greaterThanOrEqual" allowBlank="1" showInputMessage="1" showErrorMessage="1" error="Must be a date not earlier than today's date" sqref="F96" xr:uid="{D259374E-016E-4BC7-96DB-324FA38804C1}">
      <formula1>TODAY()</formula1>
    </dataValidation>
    <dataValidation type="whole" operator="greaterThan" allowBlank="1" showInputMessage="1" showErrorMessage="1" sqref="G32:H32" xr:uid="{CCCFD2E8-AF2D-4866-A565-E76C7B4DA556}">
      <formula1>0</formula1>
    </dataValidation>
    <dataValidation type="whole" operator="greaterThanOrEqual" allowBlank="1" showInputMessage="1" showErrorMessage="1" sqref="G48:H52 G33:H33 G63:H71 F75 G75:H75" xr:uid="{4C824CEB-3A41-4282-ACA4-473636CB0BCA}">
      <formula1>0</formula1>
    </dataValidation>
    <dataValidation allowBlank="1" showInputMessage="1" showErrorMessage="1" prompt="Please enter phone number as (###) ### - ###" sqref="G82" xr:uid="{18A6C159-C10B-4057-B7E3-5FC7806F0EAA}"/>
    <dataValidation type="decimal" operator="greaterThanOrEqual" allowBlank="1" showInputMessage="1" showErrorMessage="1" sqref="G40:H44" xr:uid="{BB3FC7B9-3C84-491D-AD0D-5225A1967978}">
      <formula1>0</formula1>
    </dataValidation>
    <dataValidation type="textLength" operator="equal" allowBlank="1" showInputMessage="1" showErrorMessage="1" error="Please enter 10 digit phone number" prompt="Please enter 10 digit phone number" sqref="F82" xr:uid="{9BF44AF9-FD9B-4186-A18D-63C1A7673577}">
      <formula1>10</formula1>
    </dataValidation>
    <dataValidation type="decimal" operator="greaterThan" allowBlank="1" showInputMessage="1" showErrorMessage="1" error="Must be an amount greater than or equal to zero." sqref="F48:F53 F63:F71 F40:F45 F56:F60" xr:uid="{B3E8C4E5-2C30-4B44-9594-44AC1EB7DF9A}">
      <formula1>0</formula1>
    </dataValidation>
    <dataValidation type="textLength" operator="lessThanOrEqual" allowBlank="1" showInputMessage="1" showErrorMessage="1" error="Must be 50 letters or less" sqref="C82 C88" xr:uid="{F07F6E21-CF96-4A86-87C9-2C47D95BC243}">
      <formula1>50</formula1>
    </dataValidation>
    <dataValidation type="decimal" operator="greaterThan" allowBlank="1" showInputMessage="1" showErrorMessage="1" error="Must be an amount greater than 0." sqref="F32" xr:uid="{EFE2359C-D873-4EFC-B922-18C8B0167A01}">
      <formula1>0</formula1>
    </dataValidation>
    <dataValidation type="decimal" operator="greaterThanOrEqual" allowBlank="1" showInputMessage="1" showErrorMessage="1" error="Must be an amount greater than or equal to 0." sqref="F33" xr:uid="{2E9A950E-8B01-4884-BDF0-5851062C8EC2}">
      <formula1>0</formula1>
    </dataValidation>
    <dataValidation type="custom" allowBlank="1" showInputMessage="1" showErrorMessage="1" error="Please enter valid email address" sqref="I82" xr:uid="{73091365-3629-4C2D-90F4-74B4FD1B13BA}">
      <formula1>AND(ISNUMBER(FIND("@",I82)), ISNUMBER(FIND(".",I82)), FIND(".",I82) &gt; FIND("@",I82))</formula1>
    </dataValidation>
    <dataValidation type="decimal" allowBlank="1" showInputMessage="1" showErrorMessage="1" error="Must be a number between 0 and the sum of all eligible costs incurred for the eligible centre, AFTER one-time, unexpected costs" prompt="A “child with special needs” means a child whose cognitive, physical, social, emotional or communicative needs, or whose needs relating to overall development, are of such a nature that additional supports are required for the child." sqref="F79" xr:uid="{8E434C5C-0FC0-4953-82E4-B124E4FCC9E7}">
      <formula1>0</formula1>
      <formula2>F77</formula2>
    </dataValidation>
    <dataValidation type="whole" operator="greaterThanOrEqual" allowBlank="1" showInputMessage="1" showErrorMessage="1" error="Must be whole number, equal or larger than 0" sqref="F27 H27:I27" xr:uid="{4E94E19A-B2CB-4E44-BC37-9D347AC1AF49}">
      <formula1>0</formula1>
    </dataValidation>
    <dataValidation type="whole" operator="greaterThanOrEqual" allowBlank="1" showInputMessage="1" showErrorMessage="1" error="Must be a number greater than or equal to 0" sqref="I21:I26 F21:F26" xr:uid="{859C0B9E-B94E-4579-ADC5-5B201DF37D10}">
      <formula1>0</formula1>
    </dataValidation>
    <dataValidation allowBlank="1" showInputMessage="1" showErrorMessage="1" prompt="For example, 10 infant operating spaces for 200 service days and 5 infant operating spaces for 100 service days would be (10X20)+(5X100) = 2,500 infant operating space-days" sqref="F20" xr:uid="{A8C29549-A0D1-4408-B5B7-D466889C1006}"/>
    <dataValidation allowBlank="1" showInputMessage="1" showErrorMessage="1" prompt="For example, 10 infant licensed spaces for 200 service days and 5 infant licensed spaces for 100 service days would be (10X20)+(5X100) = 2,500 infant licensed space-days" sqref="I20" xr:uid="{CBCB42DC-65EC-4A98-9B53-8C165391BAB7}"/>
    <dataValidation type="whole" allowBlank="1" showInputMessage="1" showErrorMessage="1" error="Must be greater than zero and less than  365" sqref="G18:H18" xr:uid="{44908514-C606-44A7-BC6E-321652AC224F}">
      <formula1>0</formula1>
      <formula2>365</formula2>
    </dataValidation>
    <dataValidation type="date" allowBlank="1" showInputMessage="1" showErrorMessage="1" error="Date must between April 1st, 2022 and December 31, 2025" prompt="(yyyy-mm-dd)" sqref="G11:G12" xr:uid="{CB266779-DB45-4A27-BA53-61F7981D151B}">
      <formula1>44652</formula1>
      <formula2>46022</formula2>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8" xr:uid="{586FC8D0-1452-43B8-87F1-B1C6ADD54BBC}">
      <formula1>0</formula1>
      <formula2>365</formula2>
    </dataValidation>
    <dataValidation type="list" allowBlank="1" showInputMessage="1" showErrorMessage="1" error="Please select from drop-down list" sqref="F12" xr:uid="{0A1E6845-8E49-4B12-B08D-05EDCC0D3C63}">
      <formula1>SSMs</formula1>
    </dataValidation>
    <dataValidation type="date" allowBlank="1" showInputMessage="1" showErrorMessage="1" error="Date must be between April 1st, 2022 and December 31, 2025" prompt="(yyyy-mm-dd)" sqref="F11" xr:uid="{F002762B-11B4-4BEF-8AD6-DD458437A7B5}">
      <formula1>44652</formula1>
      <formula2>46022</formula2>
    </dataValidation>
  </dataValidations>
  <hyperlinks>
    <hyperlink ref="I82" r:id="rId1" display="navdip_atwal@hotmail.com" xr:uid="{7B73EE81-0F65-4B12-9DAC-C6BBFED565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3C607-A496-434A-9B8C-6C31AA9F2D95}">
  <sheetPr>
    <tabColor theme="9" tint="0.59999389629810485"/>
  </sheetPr>
  <dimension ref="A1:Y142"/>
  <sheetViews>
    <sheetView showGridLines="0" zoomScale="85" zoomScaleNormal="85" workbookViewId="0">
      <selection activeCell="E10" sqref="E10"/>
    </sheetView>
  </sheetViews>
  <sheetFormatPr defaultColWidth="8.7265625" defaultRowHeight="15.5" outlineLevelRow="1"/>
  <cols>
    <col min="1" max="1" width="2.7265625" style="14" customWidth="1"/>
    <col min="2" max="2" width="58.7265625" style="14" customWidth="1"/>
    <col min="3" max="3" width="23" style="14" customWidth="1"/>
    <col min="4" max="4" width="21.1796875" style="14" customWidth="1"/>
    <col min="5" max="5" width="22.1796875" style="14" customWidth="1"/>
    <col min="6" max="9" width="18.7265625" style="14" customWidth="1"/>
    <col min="10" max="10" width="25.6328125" style="14" customWidth="1"/>
    <col min="11" max="11" width="12.26953125" style="14" customWidth="1"/>
    <col min="12" max="18" width="8.7265625" style="14"/>
    <col min="19" max="19" width="10.453125" style="14" customWidth="1"/>
    <col min="20" max="16384" width="8.7265625" style="14"/>
  </cols>
  <sheetData>
    <row r="1" spans="2:11" ht="25.5" customHeight="1">
      <c r="B1" s="1091" t="str">
        <f>IF('A1. Identification'!D7=0, "2025 FAIR, CWELCC and OTEF Reconciliation for Multi Site Operators",'A1. Identification'!D7)</f>
        <v>2025 FAIR, CWELCC and OTEF Reconciliation for Multi Site Operators</v>
      </c>
      <c r="C1" s="1091"/>
      <c r="D1" s="1091"/>
      <c r="E1" s="1091"/>
      <c r="F1" s="1091"/>
      <c r="G1" s="1091"/>
      <c r="H1" s="1091"/>
      <c r="I1" s="1092"/>
      <c r="J1" s="109" t="s">
        <v>109</v>
      </c>
      <c r="K1" s="110" t="str">
        <f>IF('A1. Identification'!$D$13=0, " ",'A1. Identification'!$D$13)</f>
        <v xml:space="preserve"> </v>
      </c>
    </row>
    <row r="2" spans="2:11" ht="20.25" customHeight="1">
      <c r="B2" s="58"/>
      <c r="C2" s="58"/>
      <c r="D2" s="58"/>
      <c r="E2" s="58"/>
      <c r="F2" s="58"/>
      <c r="G2" s="58"/>
      <c r="H2" s="887"/>
      <c r="I2" s="888"/>
      <c r="K2" s="325"/>
    </row>
    <row r="3" spans="2:11" ht="16" thickBot="1">
      <c r="B3"/>
      <c r="C3"/>
      <c r="D3"/>
      <c r="E3"/>
      <c r="K3" s="325"/>
    </row>
    <row r="4" spans="2:11" ht="15.9" customHeight="1">
      <c r="B4" s="1095" t="s">
        <v>980</v>
      </c>
      <c r="C4" s="1096"/>
      <c r="D4" s="1096"/>
      <c r="E4" s="1096"/>
      <c r="F4" s="1096"/>
      <c r="G4" s="1096"/>
      <c r="H4" s="1096"/>
      <c r="I4" s="1097"/>
      <c r="K4" s="325"/>
    </row>
    <row r="5" spans="2:11">
      <c r="B5" s="1098"/>
      <c r="C5" s="1099"/>
      <c r="D5" s="1099"/>
      <c r="E5" s="1099"/>
      <c r="F5" s="1099"/>
      <c r="G5" s="1099"/>
      <c r="H5" s="1099"/>
      <c r="I5" s="1100"/>
      <c r="K5" s="325"/>
    </row>
    <row r="6" spans="2:11" ht="16" thickBot="1">
      <c r="B6" s="1101"/>
      <c r="C6" s="1102"/>
      <c r="D6" s="1102"/>
      <c r="E6" s="1102"/>
      <c r="F6" s="1102"/>
      <c r="G6" s="1102"/>
      <c r="H6" s="1102"/>
      <c r="I6" s="1103"/>
      <c r="K6" s="325"/>
    </row>
    <row r="7" spans="2:11">
      <c r="B7" s="297"/>
      <c r="C7" s="297"/>
      <c r="D7" s="297"/>
      <c r="E7" s="297"/>
      <c r="K7" s="325"/>
    </row>
    <row r="8" spans="2:11" ht="24" customHeight="1" thickBot="1">
      <c r="B8" s="1093" t="s">
        <v>967</v>
      </c>
      <c r="C8" s="1094"/>
      <c r="D8" s="1094"/>
      <c r="E8" s="1094"/>
      <c r="F8" s="1094"/>
      <c r="G8" s="1094"/>
      <c r="H8" s="1094"/>
      <c r="I8" s="1094"/>
      <c r="K8" s="325"/>
    </row>
    <row r="9" spans="2:11" ht="19" outlineLevel="1" thickBot="1">
      <c r="B9" s="326"/>
      <c r="C9" s="326"/>
      <c r="D9" s="326"/>
      <c r="E9" s="1012" t="s">
        <v>968</v>
      </c>
      <c r="F9" s="1012" t="s">
        <v>969</v>
      </c>
      <c r="G9" s="1012" t="s">
        <v>970</v>
      </c>
      <c r="H9" s="1012" t="s">
        <v>971</v>
      </c>
      <c r="I9" s="1012" t="s">
        <v>972</v>
      </c>
      <c r="J9" s="1124" t="s">
        <v>87</v>
      </c>
      <c r="K9" s="325"/>
    </row>
    <row r="10" spans="2:11" outlineLevel="1">
      <c r="B10" s="448" t="s">
        <v>724</v>
      </c>
      <c r="C10" s="449"/>
      <c r="D10" s="449"/>
      <c r="E10" s="1000"/>
      <c r="F10" s="1000"/>
      <c r="G10" s="1000"/>
      <c r="H10" s="1000"/>
      <c r="I10" s="1000"/>
      <c r="J10" s="1125"/>
      <c r="K10" s="325"/>
    </row>
    <row r="11" spans="2:11" outlineLevel="1">
      <c r="B11" s="78" t="s">
        <v>725</v>
      </c>
      <c r="C11" s="9"/>
      <c r="D11" s="9"/>
      <c r="E11" s="1000"/>
      <c r="F11" s="1000"/>
      <c r="G11" s="1000"/>
      <c r="H11" s="1000"/>
      <c r="I11" s="1000"/>
      <c r="J11" s="1126"/>
      <c r="K11" s="325"/>
    </row>
    <row r="12" spans="2:11" outlineLevel="1">
      <c r="B12" s="327" t="s">
        <v>21</v>
      </c>
      <c r="C12" s="1128" t="s">
        <v>22</v>
      </c>
      <c r="D12" s="1129"/>
      <c r="E12" s="1001" t="s">
        <v>23</v>
      </c>
      <c r="F12" s="1001" t="s">
        <v>23</v>
      </c>
      <c r="G12" s="1001" t="s">
        <v>23</v>
      </c>
      <c r="H12" s="1001" t="s">
        <v>23</v>
      </c>
      <c r="I12" s="1001" t="s">
        <v>23</v>
      </c>
      <c r="J12" s="1001" t="s">
        <v>23</v>
      </c>
      <c r="K12" s="325"/>
    </row>
    <row r="13" spans="2:11" outlineLevel="1">
      <c r="B13" s="1110" t="s">
        <v>24</v>
      </c>
      <c r="C13" s="1115" t="s">
        <v>25</v>
      </c>
      <c r="D13" s="994" t="s">
        <v>26</v>
      </c>
      <c r="E13" s="1002"/>
      <c r="F13" s="1002"/>
      <c r="G13" s="1002"/>
      <c r="H13" s="1002"/>
      <c r="I13" s="1002"/>
      <c r="J13" s="1011">
        <f>SUM(E13:I13)</f>
        <v>0</v>
      </c>
      <c r="K13" s="325"/>
    </row>
    <row r="14" spans="2:11" outlineLevel="1">
      <c r="B14" s="1111"/>
      <c r="C14" s="1116"/>
      <c r="D14" s="994" t="s">
        <v>27</v>
      </c>
      <c r="E14" s="1002"/>
      <c r="F14" s="1002"/>
      <c r="G14" s="1002"/>
      <c r="H14" s="1002"/>
      <c r="I14" s="1002"/>
      <c r="J14" s="1011">
        <f t="shared" ref="J14:J19" si="0">SUM(E14:I14)</f>
        <v>0</v>
      </c>
      <c r="K14" s="325"/>
    </row>
    <row r="15" spans="2:11" outlineLevel="1">
      <c r="B15" s="1111"/>
      <c r="C15" s="1116"/>
      <c r="D15" s="994" t="s">
        <v>28</v>
      </c>
      <c r="E15" s="1003"/>
      <c r="F15" s="1003"/>
      <c r="G15" s="1003"/>
      <c r="H15" s="1003"/>
      <c r="I15" s="1003"/>
      <c r="J15" s="1011">
        <f t="shared" si="0"/>
        <v>0</v>
      </c>
      <c r="K15" s="325"/>
    </row>
    <row r="16" spans="2:11" outlineLevel="1">
      <c r="B16" s="1111"/>
      <c r="C16" s="1116"/>
      <c r="D16" s="994" t="s">
        <v>29</v>
      </c>
      <c r="E16" s="1002"/>
      <c r="F16" s="1002"/>
      <c r="G16" s="1002"/>
      <c r="H16" s="1002"/>
      <c r="I16" s="1002"/>
      <c r="J16" s="1011">
        <f t="shared" si="0"/>
        <v>0</v>
      </c>
      <c r="K16" s="325"/>
    </row>
    <row r="17" spans="1:25" outlineLevel="1">
      <c r="B17" s="1111"/>
      <c r="C17" s="1116"/>
      <c r="D17" s="994" t="s">
        <v>30</v>
      </c>
      <c r="E17" s="1002"/>
      <c r="F17" s="1002"/>
      <c r="G17" s="1002"/>
      <c r="H17" s="1002"/>
      <c r="I17" s="1002"/>
      <c r="J17" s="1011">
        <f t="shared" si="0"/>
        <v>0</v>
      </c>
      <c r="K17" s="325"/>
    </row>
    <row r="18" spans="1:25" outlineLevel="1">
      <c r="B18" s="1111"/>
      <c r="C18" s="1116"/>
      <c r="D18" s="994" t="s">
        <v>31</v>
      </c>
      <c r="E18" s="1002"/>
      <c r="F18" s="1002"/>
      <c r="G18" s="1002"/>
      <c r="H18" s="1002"/>
      <c r="I18" s="1002"/>
      <c r="J18" s="1011">
        <f t="shared" si="0"/>
        <v>0</v>
      </c>
      <c r="K18" s="325"/>
    </row>
    <row r="19" spans="1:25" outlineLevel="1">
      <c r="B19" s="1111"/>
      <c r="C19" s="1116"/>
      <c r="D19" s="994" t="s">
        <v>32</v>
      </c>
      <c r="E19" s="1002"/>
      <c r="F19" s="1002"/>
      <c r="G19" s="1002"/>
      <c r="H19" s="1002"/>
      <c r="I19" s="1002"/>
      <c r="J19" s="1011">
        <f t="shared" si="0"/>
        <v>0</v>
      </c>
      <c r="K19" s="325"/>
    </row>
    <row r="20" spans="1:25" ht="37" outlineLevel="1">
      <c r="B20" s="1111"/>
      <c r="C20" s="1117"/>
      <c r="D20" s="999" t="s">
        <v>33</v>
      </c>
      <c r="E20" s="1004">
        <f>SUM(E13:E19)</f>
        <v>0</v>
      </c>
      <c r="F20" s="1004">
        <f t="shared" ref="F20:J20" si="1">SUM(F13:F19)</f>
        <v>0</v>
      </c>
      <c r="G20" s="1004">
        <f t="shared" si="1"/>
        <v>0</v>
      </c>
      <c r="H20" s="1004">
        <f t="shared" si="1"/>
        <v>0</v>
      </c>
      <c r="I20" s="1004">
        <f t="shared" si="1"/>
        <v>0</v>
      </c>
      <c r="J20" s="1004">
        <f t="shared" si="1"/>
        <v>0</v>
      </c>
      <c r="K20" s="325"/>
    </row>
    <row r="21" spans="1:25" outlineLevel="1">
      <c r="B21" s="1111"/>
      <c r="C21" s="1122" t="s">
        <v>34</v>
      </c>
      <c r="D21" s="1123"/>
      <c r="E21" s="1003"/>
      <c r="F21" s="1003"/>
      <c r="G21" s="1003"/>
      <c r="H21" s="1003"/>
      <c r="I21" s="1003"/>
      <c r="J21" s="1011" t="str" cm="1">
        <f t="array" ref="J21:N21">IF(E21:I21=0," ",SUM(E21:I21))</f>
        <v xml:space="preserve"> </v>
      </c>
      <c r="K21" s="325" t="str">
        <v xml:space="preserve"> </v>
      </c>
      <c r="L21" s="14" t="str">
        <v xml:space="preserve"> </v>
      </c>
      <c r="M21" s="14" t="str">
        <v xml:space="preserve"> </v>
      </c>
      <c r="N21" s="14" t="str">
        <v xml:space="preserve"> </v>
      </c>
    </row>
    <row r="22" spans="1:25" outlineLevel="1">
      <c r="B22" s="1112"/>
      <c r="C22" s="1118" t="s">
        <v>35</v>
      </c>
      <c r="D22" s="1119"/>
      <c r="E22" s="1005">
        <f>SUM(E20:E21)</f>
        <v>0</v>
      </c>
      <c r="F22" s="1005">
        <f t="shared" ref="F22:J22" si="2">SUM(F20:F21)</f>
        <v>0</v>
      </c>
      <c r="G22" s="1005">
        <f t="shared" si="2"/>
        <v>0</v>
      </c>
      <c r="H22" s="1005">
        <f t="shared" si="2"/>
        <v>0</v>
      </c>
      <c r="I22" s="1005">
        <f t="shared" si="2"/>
        <v>0</v>
      </c>
      <c r="J22" s="1005">
        <f t="shared" si="2"/>
        <v>0</v>
      </c>
      <c r="K22" s="325"/>
    </row>
    <row r="23" spans="1:25" outlineLevel="1">
      <c r="B23" s="327" t="s">
        <v>36</v>
      </c>
      <c r="C23" s="1120" t="s">
        <v>37</v>
      </c>
      <c r="D23" s="1121"/>
      <c r="E23" s="1003"/>
      <c r="F23" s="1003"/>
      <c r="G23" s="1003"/>
      <c r="H23" s="1003"/>
      <c r="I23" s="1003"/>
      <c r="J23" s="1011" t="str" cm="1">
        <f t="array" ref="J23:N23">IF(E23:I23=0," ",SUM(E23:I23))</f>
        <v xml:space="preserve"> </v>
      </c>
      <c r="K23" s="325" t="str">
        <v xml:space="preserve"> </v>
      </c>
      <c r="L23" s="14" t="str">
        <v xml:space="preserve"> </v>
      </c>
      <c r="M23" s="14" t="str">
        <v xml:space="preserve"> </v>
      </c>
      <c r="N23" s="14" t="str">
        <v xml:space="preserve"> </v>
      </c>
    </row>
    <row r="24" spans="1:25" ht="19" outlineLevel="1" thickBot="1">
      <c r="B24" s="1113" t="s">
        <v>38</v>
      </c>
      <c r="C24" s="1113"/>
      <c r="D24" s="1114"/>
      <c r="E24" s="1006">
        <f>SUM(E22:E23)</f>
        <v>0</v>
      </c>
      <c r="F24" s="1006">
        <f t="shared" ref="F24:J24" si="3">SUM(F22:F23)</f>
        <v>0</v>
      </c>
      <c r="G24" s="1006">
        <f t="shared" si="3"/>
        <v>0</v>
      </c>
      <c r="H24" s="1006">
        <f t="shared" si="3"/>
        <v>0</v>
      </c>
      <c r="I24" s="1006">
        <f t="shared" si="3"/>
        <v>0</v>
      </c>
      <c r="J24" s="1006">
        <f t="shared" si="3"/>
        <v>0</v>
      </c>
      <c r="K24" s="325"/>
    </row>
    <row r="25" spans="1:25" ht="18.5">
      <c r="A25" s="352" t="s">
        <v>805</v>
      </c>
      <c r="B25" s="871"/>
      <c r="C25" s="871"/>
      <c r="D25" s="871"/>
      <c r="E25" s="872"/>
      <c r="K25" s="325"/>
    </row>
    <row r="26" spans="1:25" ht="23.5">
      <c r="A26" s="352"/>
      <c r="B26" s="51"/>
      <c r="K26" s="325"/>
    </row>
    <row r="27" spans="1:25" customFormat="1" ht="23.25" customHeight="1">
      <c r="B27" s="1093" t="s">
        <v>11</v>
      </c>
      <c r="C27" s="1094"/>
      <c r="D27" s="1094"/>
      <c r="E27" s="1094"/>
      <c r="F27" s="1094"/>
      <c r="G27" s="1094"/>
      <c r="H27" s="1094"/>
      <c r="I27" s="1094"/>
      <c r="J27" s="14"/>
      <c r="K27" s="329"/>
      <c r="L27" s="329"/>
      <c r="M27" s="329"/>
      <c r="N27" s="329"/>
      <c r="Y27" s="5"/>
    </row>
    <row r="28" spans="1:25" customFormat="1" ht="14.25" customHeight="1">
      <c r="B28" s="330"/>
      <c r="C28" s="330"/>
      <c r="D28" s="330"/>
      <c r="E28" s="330"/>
      <c r="F28" s="330"/>
      <c r="G28" s="330"/>
      <c r="H28" s="330"/>
      <c r="I28" s="330"/>
      <c r="J28" s="329"/>
      <c r="K28" s="329"/>
      <c r="L28" s="329"/>
      <c r="M28" s="329"/>
      <c r="N28" s="329"/>
      <c r="Y28" s="5"/>
    </row>
    <row r="29" spans="1:25" ht="80.5" customHeight="1">
      <c r="B29" s="1105" t="s">
        <v>241</v>
      </c>
      <c r="C29" s="1106"/>
      <c r="D29" s="1106"/>
      <c r="E29" s="1106"/>
      <c r="F29" s="1106"/>
      <c r="G29" s="1106"/>
      <c r="H29" s="1106"/>
      <c r="I29" s="1107"/>
      <c r="J29" s="329"/>
      <c r="K29" s="329"/>
      <c r="L29" s="329"/>
      <c r="M29" s="329"/>
      <c r="N29" s="329"/>
      <c r="P29" s="1104"/>
      <c r="Q29" s="1104"/>
      <c r="R29" s="1104"/>
      <c r="S29" s="1104"/>
      <c r="T29" s="1104"/>
      <c r="U29" s="1104"/>
    </row>
    <row r="30" spans="1:25" ht="16" customHeight="1">
      <c r="B30" s="1108" t="s">
        <v>12</v>
      </c>
      <c r="C30" s="1109"/>
      <c r="D30" s="1109"/>
      <c r="E30" s="1109"/>
      <c r="F30" s="1109"/>
      <c r="G30" s="1109"/>
      <c r="H30" s="1109"/>
      <c r="I30" s="331"/>
      <c r="J30" s="329"/>
      <c r="K30" s="329"/>
      <c r="L30" s="329"/>
      <c r="M30" s="329"/>
      <c r="N30" s="329"/>
      <c r="P30" s="1104"/>
      <c r="Q30" s="1104"/>
      <c r="R30" s="1104"/>
      <c r="S30" s="1104"/>
      <c r="T30" s="1104"/>
      <c r="U30" s="1104"/>
    </row>
    <row r="31" spans="1:25" ht="13" customHeight="1">
      <c r="B31" s="332"/>
      <c r="C31" s="332"/>
      <c r="D31" s="332"/>
      <c r="E31" s="332"/>
      <c r="F31"/>
      <c r="G31" s="332"/>
      <c r="H31" s="332"/>
      <c r="I31" s="329"/>
      <c r="J31" s="329"/>
      <c r="K31" s="329"/>
      <c r="L31" s="329"/>
      <c r="M31" s="329"/>
      <c r="N31" s="329"/>
    </row>
    <row r="32" spans="1:25" customFormat="1" ht="31.5" customHeight="1">
      <c r="B32" s="1127" t="s">
        <v>818</v>
      </c>
      <c r="C32" s="1127"/>
      <c r="D32" s="1127"/>
      <c r="E32" s="1127"/>
      <c r="F32" s="1127"/>
      <c r="G32" s="1127"/>
      <c r="H32" s="1127"/>
      <c r="I32" s="1127"/>
      <c r="K32" s="89"/>
      <c r="M32" s="334"/>
      <c r="Y32" s="5"/>
    </row>
    <row r="33" spans="2:25" customFormat="1" ht="14.5" customHeight="1">
      <c r="B33" s="329"/>
      <c r="C33" s="329"/>
      <c r="D33" s="329"/>
      <c r="F33" s="329"/>
      <c r="G33" s="329"/>
      <c r="H33" s="329"/>
      <c r="K33" s="301"/>
      <c r="Y33" s="5"/>
    </row>
    <row r="34" spans="2:25" customFormat="1" ht="14.5" customHeight="1">
      <c r="B34" s="335" t="s">
        <v>328</v>
      </c>
      <c r="C34" s="115"/>
      <c r="D34" s="336" t="s">
        <v>384</v>
      </c>
      <c r="F34" s="1079"/>
      <c r="G34" s="1080"/>
      <c r="H34" s="1080"/>
      <c r="I34" s="1081"/>
      <c r="K34" s="301"/>
      <c r="Y34" s="5"/>
    </row>
    <row r="35" spans="2:25" customFormat="1" ht="14.5" customHeight="1">
      <c r="B35" s="329"/>
      <c r="C35" s="329"/>
      <c r="D35" s="329"/>
      <c r="F35" s="1082"/>
      <c r="G35" s="1083"/>
      <c r="H35" s="1083"/>
      <c r="I35" s="1084"/>
      <c r="K35" s="301"/>
      <c r="Y35" s="5"/>
    </row>
    <row r="36" spans="2:25" customFormat="1" ht="14.5" customHeight="1">
      <c r="B36" s="52" t="s">
        <v>947</v>
      </c>
      <c r="C36" s="1085" t="str">
        <f>IF(E$10=0," ",E$10)</f>
        <v xml:space="preserve"> </v>
      </c>
      <c r="D36" s="1086"/>
      <c r="E36" s="1087"/>
      <c r="F36" s="337"/>
      <c r="G36" s="337"/>
      <c r="H36" s="337"/>
      <c r="I36" s="337"/>
      <c r="K36" s="301"/>
      <c r="Y36" s="5"/>
    </row>
    <row r="37" spans="2:25">
      <c r="B37" s="52" t="s">
        <v>901</v>
      </c>
      <c r="C37" s="1130" t="str">
        <f>IF(E$11=0," ",E$11)</f>
        <v xml:space="preserve"> </v>
      </c>
      <c r="D37" s="1131"/>
      <c r="E37" s="1132"/>
      <c r="F37" s="1088" t="s">
        <v>92</v>
      </c>
      <c r="G37" s="1089"/>
      <c r="H37" s="1090"/>
      <c r="I37" s="910"/>
    </row>
    <row r="38" spans="2:25" s="343" customFormat="1" outlineLevel="1">
      <c r="B38" s="339" t="s">
        <v>1</v>
      </c>
      <c r="C38" s="340" t="s">
        <v>2</v>
      </c>
      <c r="D38" s="340" t="s">
        <v>3</v>
      </c>
      <c r="E38" s="340" t="s">
        <v>4</v>
      </c>
      <c r="F38" s="340" t="s">
        <v>5</v>
      </c>
      <c r="G38" s="340" t="s">
        <v>6</v>
      </c>
      <c r="H38" s="341" t="s">
        <v>13</v>
      </c>
      <c r="I38" s="342" t="s">
        <v>8</v>
      </c>
      <c r="L38" s="8"/>
      <c r="N38" s="343">
        <v>0</v>
      </c>
      <c r="Y38" s="344"/>
    </row>
    <row r="39" spans="2:25" outlineLevel="1">
      <c r="B39" s="345" t="s">
        <v>397</v>
      </c>
      <c r="C39" s="904">
        <v>10</v>
      </c>
      <c r="D39" s="904"/>
      <c r="E39" s="904"/>
      <c r="F39" s="904"/>
      <c r="G39" s="904"/>
      <c r="H39" s="904"/>
      <c r="I39" s="904"/>
    </row>
    <row r="40" spans="2:25" outlineLevel="1">
      <c r="B40" s="345" t="s">
        <v>14</v>
      </c>
      <c r="C40" s="986"/>
      <c r="D40" s="986"/>
      <c r="E40" s="986"/>
      <c r="F40" s="904"/>
      <c r="G40" s="904"/>
      <c r="H40" s="904">
        <v>15</v>
      </c>
      <c r="I40" s="904"/>
    </row>
    <row r="41" spans="2:25" outlineLevel="1">
      <c r="B41" s="345" t="s">
        <v>9</v>
      </c>
      <c r="C41" s="934">
        <v>261</v>
      </c>
      <c r="D41" s="934"/>
      <c r="E41" s="934"/>
      <c r="F41" s="934"/>
      <c r="G41" s="934"/>
      <c r="H41" s="934">
        <v>261</v>
      </c>
      <c r="I41" s="934"/>
    </row>
    <row r="42" spans="2:25" outlineLevel="1">
      <c r="B42" s="345" t="s">
        <v>460</v>
      </c>
      <c r="C42" s="934">
        <v>11</v>
      </c>
      <c r="D42" s="934"/>
      <c r="E42" s="934"/>
      <c r="F42" s="934"/>
      <c r="G42" s="934"/>
      <c r="H42" s="934">
        <v>4</v>
      </c>
      <c r="I42" s="934"/>
    </row>
    <row r="43" spans="2:25" outlineLevel="1">
      <c r="B43" s="345" t="s">
        <v>10</v>
      </c>
      <c r="C43" s="934">
        <v>10</v>
      </c>
      <c r="D43" s="934"/>
      <c r="E43" s="934"/>
      <c r="F43" s="934"/>
      <c r="G43" s="934"/>
      <c r="H43" s="934">
        <v>15</v>
      </c>
      <c r="I43" s="934"/>
    </row>
    <row r="44" spans="2:25" s="293" customFormat="1" outlineLevel="1">
      <c r="B44" s="328"/>
      <c r="C44" s="328"/>
      <c r="D44" s="328"/>
      <c r="E44" s="328"/>
      <c r="F44" s="328"/>
      <c r="G44" s="328"/>
      <c r="I44" s="328"/>
      <c r="Y44" s="346"/>
    </row>
    <row r="45" spans="2:25" s="322" customFormat="1" ht="15.5" customHeight="1" outlineLevel="1">
      <c r="B45" s="339" t="s">
        <v>15</v>
      </c>
      <c r="C45" s="347" t="s">
        <v>2</v>
      </c>
      <c r="D45" s="347" t="s">
        <v>3</v>
      </c>
      <c r="E45" s="347" t="s">
        <v>4</v>
      </c>
      <c r="F45" s="347" t="s">
        <v>5</v>
      </c>
      <c r="G45" s="347" t="s">
        <v>6</v>
      </c>
      <c r="H45" s="347" t="s">
        <v>7</v>
      </c>
      <c r="I45" s="347" t="s">
        <v>8</v>
      </c>
      <c r="L45"/>
      <c r="Y45" s="338"/>
    </row>
    <row r="46" spans="2:25" s="293" customFormat="1" outlineLevel="1">
      <c r="B46" s="348" t="s">
        <v>16</v>
      </c>
      <c r="C46" s="53">
        <v>0.3</v>
      </c>
      <c r="D46" s="53">
        <v>0.2</v>
      </c>
      <c r="E46" s="53">
        <v>0.125</v>
      </c>
      <c r="F46" s="53">
        <v>7.6923076923076927E-2</v>
      </c>
      <c r="G46" s="53">
        <v>0.2</v>
      </c>
      <c r="H46" s="53">
        <v>6.6666666666666666E-2</v>
      </c>
      <c r="I46" s="53">
        <v>0.05</v>
      </c>
      <c r="L46" s="322"/>
      <c r="Y46" s="346"/>
    </row>
    <row r="47" spans="2:25" s="293" customFormat="1" outlineLevel="1">
      <c r="B47" s="348" t="s">
        <v>17</v>
      </c>
      <c r="C47" s="53">
        <v>0.1</v>
      </c>
      <c r="D47" s="53">
        <v>6.6666666666666666E-2</v>
      </c>
      <c r="E47" s="53">
        <v>4.1666666666666664E-2</v>
      </c>
      <c r="F47" s="53">
        <v>3.8461538461538464E-2</v>
      </c>
      <c r="G47" s="53">
        <v>6.6666666666666666E-2</v>
      </c>
      <c r="H47" s="53">
        <v>3.3333333333333333E-2</v>
      </c>
      <c r="I47" s="53">
        <v>0.05</v>
      </c>
      <c r="L47" s="322"/>
      <c r="Y47" s="346"/>
    </row>
    <row r="48" spans="2:25" s="293" customFormat="1" outlineLevel="1">
      <c r="B48" s="328"/>
      <c r="C48" s="328"/>
      <c r="D48" s="328"/>
      <c r="E48" s="328"/>
      <c r="F48" s="328"/>
      <c r="G48" s="328"/>
      <c r="H48" s="328"/>
      <c r="I48" s="328"/>
      <c r="Y48" s="346"/>
    </row>
    <row r="49" spans="1:25" s="322" customFormat="1" ht="45" customHeight="1" outlineLevel="1">
      <c r="B49" s="349" t="s">
        <v>18</v>
      </c>
      <c r="C49" s="349" t="s">
        <v>19</v>
      </c>
      <c r="D49" s="349" t="s">
        <v>20</v>
      </c>
      <c r="E49" s="350"/>
      <c r="F49" s="350"/>
      <c r="G49" s="350"/>
      <c r="H49" s="350"/>
      <c r="I49" s="350"/>
      <c r="L49" s="293"/>
      <c r="Y49" s="338"/>
    </row>
    <row r="50" spans="1:25" ht="26" outlineLevel="1">
      <c r="B50" s="54" t="s">
        <v>242</v>
      </c>
      <c r="C50" s="55">
        <f>IFERROR(ROUND(SUMPRODUCT(C39:I39,C42:I42,C46:I46)/(SUMPRODUCT(C39:I39,C42:I42,C46:I46)+SUMPRODUCT(C40:I40,C42:I42,C46:I46)),4),"")</f>
        <v>0.89190000000000003</v>
      </c>
      <c r="D50" s="55">
        <f>IFERROR(1-C50,"")</f>
        <v>0.10809999999999997</v>
      </c>
      <c r="E50" s="351"/>
      <c r="F50" s="293"/>
      <c r="G50" s="293"/>
      <c r="H50" s="293"/>
      <c r="I50" s="293"/>
    </row>
    <row r="51" spans="1:25" ht="26" outlineLevel="1">
      <c r="B51" s="54" t="s">
        <v>243</v>
      </c>
      <c r="C51" s="55">
        <f>IFERROR(ROUND(SUMPRODUCT(C39:I39,C46:I46)/(SUMPRODUCT(C39:I39,C46:I46)+SUMPRODUCT(C40:I40,C46:I46)),4),"")</f>
        <v>0.75</v>
      </c>
      <c r="D51" s="55">
        <f>IFERROR(1-C51,"")</f>
        <v>0.25</v>
      </c>
      <c r="E51" s="351"/>
      <c r="F51" s="293"/>
      <c r="G51" s="293"/>
      <c r="H51" s="293"/>
      <c r="I51" s="293"/>
    </row>
    <row r="52" spans="1:25" ht="26" outlineLevel="1">
      <c r="B52" s="54" t="s">
        <v>244</v>
      </c>
      <c r="C52" s="55">
        <f>IFERROR(MIN(ROUND((SUMPRODUCT(C43:G43,C47:G47)+SUMPRODUCT(H39:I39,H47:I47))/SUMPRODUCT(C43:I43,C47:I47),4), 1), "")</f>
        <v>0.66669999999999996</v>
      </c>
      <c r="D52" s="55">
        <f>IFERROR(1-C52,"")</f>
        <v>0.33330000000000004</v>
      </c>
      <c r="E52" s="351"/>
      <c r="F52" s="293"/>
      <c r="G52" s="293"/>
      <c r="H52" s="293"/>
      <c r="I52" s="293"/>
    </row>
    <row r="53" spans="1:25" ht="26" outlineLevel="1">
      <c r="B53" s="54" t="s">
        <v>245</v>
      </c>
      <c r="C53" s="55">
        <f>IFERROR(ROUND(SUMPRODUCT(C39:I39,C42:I42,C46:I46)/(SUMPRODUCT(C39:I39,C42:I42,C46:I46)+SUMPRODUCT(C40:I40,C42:I42,C46:I46)),4),"")</f>
        <v>0.89190000000000003</v>
      </c>
      <c r="D53" s="55">
        <f>IFERROR(1-C53,"")</f>
        <v>0.10809999999999997</v>
      </c>
      <c r="E53" s="351"/>
      <c r="F53" s="293"/>
      <c r="G53" s="293"/>
      <c r="H53" s="293"/>
      <c r="I53" s="293"/>
    </row>
    <row r="54" spans="1:25">
      <c r="A54" s="352" t="s">
        <v>805</v>
      </c>
    </row>
    <row r="55" spans="1:25">
      <c r="A55" s="352"/>
    </row>
    <row r="56" spans="1:25">
      <c r="B56" s="335" t="s">
        <v>328</v>
      </c>
      <c r="C56" s="115"/>
      <c r="D56" s="336" t="s">
        <v>384</v>
      </c>
      <c r="E56"/>
      <c r="F56" s="1079"/>
      <c r="G56" s="1080"/>
      <c r="H56" s="1080"/>
      <c r="I56" s="1081"/>
    </row>
    <row r="57" spans="1:25">
      <c r="B57" s="329"/>
      <c r="C57" s="329"/>
      <c r="D57" s="329"/>
      <c r="E57"/>
      <c r="F57" s="1082"/>
      <c r="G57" s="1083"/>
      <c r="H57" s="1083"/>
      <c r="I57" s="1084"/>
    </row>
    <row r="58" spans="1:25">
      <c r="B58" s="52" t="s">
        <v>948</v>
      </c>
      <c r="C58" s="1085" t="str">
        <f>IF(F$10=0," ",F$10)</f>
        <v xml:space="preserve"> </v>
      </c>
      <c r="D58" s="1086"/>
      <c r="E58" s="1087"/>
      <c r="F58" s="337"/>
      <c r="G58" s="337"/>
      <c r="H58" s="337"/>
      <c r="I58" s="337"/>
    </row>
    <row r="59" spans="1:25">
      <c r="B59" s="52" t="s">
        <v>902</v>
      </c>
      <c r="C59" s="1085" t="str">
        <f>IF(F$11=0," ",F$11)</f>
        <v xml:space="preserve"> </v>
      </c>
      <c r="D59" s="1086"/>
      <c r="E59" s="1087"/>
      <c r="F59" s="1088" t="s">
        <v>92</v>
      </c>
      <c r="G59" s="1089"/>
      <c r="H59" s="1090"/>
      <c r="I59" s="910"/>
    </row>
    <row r="60" spans="1:25" outlineLevel="1">
      <c r="B60" s="339" t="s">
        <v>1</v>
      </c>
      <c r="C60" s="340" t="s">
        <v>2</v>
      </c>
      <c r="D60" s="340" t="s">
        <v>3</v>
      </c>
      <c r="E60" s="340" t="s">
        <v>4</v>
      </c>
      <c r="F60" s="340" t="s">
        <v>5</v>
      </c>
      <c r="G60" s="340" t="s">
        <v>6</v>
      </c>
      <c r="H60" s="341" t="s">
        <v>13</v>
      </c>
      <c r="I60" s="342" t="s">
        <v>8</v>
      </c>
    </row>
    <row r="61" spans="1:25" outlineLevel="1">
      <c r="B61" s="345" t="s">
        <v>397</v>
      </c>
      <c r="C61" s="904"/>
      <c r="D61" s="904"/>
      <c r="E61" s="904"/>
      <c r="F61" s="904"/>
      <c r="G61" s="904"/>
      <c r="H61" s="904"/>
      <c r="I61" s="904"/>
    </row>
    <row r="62" spans="1:25" outlineLevel="1">
      <c r="B62" s="345" t="s">
        <v>14</v>
      </c>
      <c r="C62" s="986"/>
      <c r="D62" s="986"/>
      <c r="E62" s="986"/>
      <c r="F62" s="904"/>
      <c r="G62" s="904"/>
      <c r="H62" s="904"/>
      <c r="I62" s="904"/>
    </row>
    <row r="63" spans="1:25" outlineLevel="1">
      <c r="B63" s="345" t="s">
        <v>9</v>
      </c>
      <c r="C63" s="934"/>
      <c r="D63" s="934"/>
      <c r="E63" s="934"/>
      <c r="F63" s="934"/>
      <c r="G63" s="934"/>
      <c r="H63" s="934"/>
      <c r="I63" s="934"/>
    </row>
    <row r="64" spans="1:25" outlineLevel="1">
      <c r="B64" s="345" t="s">
        <v>460</v>
      </c>
      <c r="C64" s="934"/>
      <c r="D64" s="934"/>
      <c r="E64" s="934"/>
      <c r="F64" s="934"/>
      <c r="G64" s="934"/>
      <c r="H64" s="934"/>
      <c r="I64" s="934"/>
    </row>
    <row r="65" spans="1:9" outlineLevel="1">
      <c r="B65" s="345" t="s">
        <v>10</v>
      </c>
      <c r="C65" s="934"/>
      <c r="D65" s="934"/>
      <c r="E65" s="934"/>
      <c r="F65" s="934"/>
      <c r="G65" s="934"/>
      <c r="H65" s="934"/>
      <c r="I65" s="934"/>
    </row>
    <row r="66" spans="1:9" outlineLevel="1">
      <c r="B66" s="328"/>
      <c r="C66" s="328"/>
      <c r="D66" s="328"/>
      <c r="E66" s="328"/>
      <c r="F66" s="328"/>
      <c r="G66" s="328"/>
      <c r="H66" s="293"/>
      <c r="I66" s="328"/>
    </row>
    <row r="67" spans="1:9" outlineLevel="1">
      <c r="B67" s="339" t="s">
        <v>15</v>
      </c>
      <c r="C67" s="347" t="s">
        <v>2</v>
      </c>
      <c r="D67" s="347" t="s">
        <v>3</v>
      </c>
      <c r="E67" s="347" t="s">
        <v>4</v>
      </c>
      <c r="F67" s="347" t="s">
        <v>5</v>
      </c>
      <c r="G67" s="347" t="s">
        <v>6</v>
      </c>
      <c r="H67" s="347" t="s">
        <v>7</v>
      </c>
      <c r="I67" s="347" t="s">
        <v>8</v>
      </c>
    </row>
    <row r="68" spans="1:9" outlineLevel="1">
      <c r="B68" s="348" t="s">
        <v>16</v>
      </c>
      <c r="C68" s="53">
        <v>0.3</v>
      </c>
      <c r="D68" s="53">
        <v>0.2</v>
      </c>
      <c r="E68" s="53">
        <v>0.125</v>
      </c>
      <c r="F68" s="53">
        <v>7.6923076923076927E-2</v>
      </c>
      <c r="G68" s="53">
        <v>0.2</v>
      </c>
      <c r="H68" s="53">
        <v>6.6666666666666666E-2</v>
      </c>
      <c r="I68" s="53">
        <v>0.05</v>
      </c>
    </row>
    <row r="69" spans="1:9" outlineLevel="1">
      <c r="B69" s="348" t="s">
        <v>17</v>
      </c>
      <c r="C69" s="53">
        <v>0.1</v>
      </c>
      <c r="D69" s="53">
        <v>6.6666666666666666E-2</v>
      </c>
      <c r="E69" s="53">
        <v>4.1666666666666664E-2</v>
      </c>
      <c r="F69" s="53">
        <v>3.8461538461538464E-2</v>
      </c>
      <c r="G69" s="53">
        <v>6.6666666666666666E-2</v>
      </c>
      <c r="H69" s="53">
        <v>3.3333333333333333E-2</v>
      </c>
      <c r="I69" s="53">
        <v>0.05</v>
      </c>
    </row>
    <row r="70" spans="1:9" outlineLevel="1">
      <c r="B70" s="328"/>
      <c r="C70" s="328"/>
      <c r="D70" s="328"/>
      <c r="E70" s="328"/>
      <c r="F70" s="328"/>
      <c r="G70" s="328"/>
      <c r="H70" s="328"/>
      <c r="I70" s="328"/>
    </row>
    <row r="71" spans="1:9" outlineLevel="1">
      <c r="B71" s="349" t="s">
        <v>18</v>
      </c>
      <c r="C71" s="349" t="s">
        <v>19</v>
      </c>
      <c r="D71" s="349" t="s">
        <v>20</v>
      </c>
      <c r="E71" s="350"/>
      <c r="F71" s="350"/>
      <c r="G71" s="350"/>
      <c r="H71" s="350"/>
      <c r="I71" s="350"/>
    </row>
    <row r="72" spans="1:9" ht="26" outlineLevel="1">
      <c r="B72" s="54" t="s">
        <v>242</v>
      </c>
      <c r="C72" s="55" t="str">
        <f>IFERROR(ROUND(SUMPRODUCT(C61:I61,C64:I64,C68:I68)/(SUMPRODUCT(C61:I61,C64:I64,C68:I68)+SUMPRODUCT(C62:I62,C64:I64,C68:I68)),4),"")</f>
        <v/>
      </c>
      <c r="D72" s="55" t="str">
        <f>IFERROR(1-C72,"")</f>
        <v/>
      </c>
      <c r="E72" s="351"/>
      <c r="F72" s="293"/>
      <c r="G72" s="293"/>
      <c r="H72" s="293"/>
      <c r="I72" s="293"/>
    </row>
    <row r="73" spans="1:9" ht="26" outlineLevel="1">
      <c r="B73" s="54" t="s">
        <v>243</v>
      </c>
      <c r="C73" s="55" t="str">
        <f>IFERROR(ROUND(SUMPRODUCT(C61:I61,C68:I68)/(SUMPRODUCT(C61:I61,C68:I68)+SUMPRODUCT(C62:I62,C68:I68)),4),"")</f>
        <v/>
      </c>
      <c r="D73" s="55" t="str">
        <f>IFERROR(1-C73,"")</f>
        <v/>
      </c>
      <c r="E73" s="351"/>
      <c r="F73" s="293"/>
      <c r="G73" s="293"/>
      <c r="H73" s="293"/>
      <c r="I73" s="293"/>
    </row>
    <row r="74" spans="1:9" ht="26" outlineLevel="1">
      <c r="B74" s="54" t="s">
        <v>244</v>
      </c>
      <c r="C74" s="55" t="str">
        <f>IFERROR(MIN(ROUND((SUMPRODUCT(C65:G65,C69:G69)+SUMPRODUCT(H61:I61,H69:I69))/SUMPRODUCT(C65:I65,C69:I69),4), 1), "")</f>
        <v/>
      </c>
      <c r="D74" s="55" t="str">
        <f>IFERROR(1-C74,"")</f>
        <v/>
      </c>
      <c r="E74" s="351"/>
      <c r="F74" s="293"/>
      <c r="G74" s="293"/>
      <c r="H74" s="293"/>
      <c r="I74" s="293"/>
    </row>
    <row r="75" spans="1:9" ht="26" outlineLevel="1">
      <c r="B75" s="54" t="s">
        <v>245</v>
      </c>
      <c r="C75" s="55" t="str">
        <f>IFERROR(ROUND(SUMPRODUCT(C61:I61,C64:I64,C68:I68)/(SUMPRODUCT(C61:I61,C64:I64,C68:I68)+SUMPRODUCT(C62:I62,C64:I64,C68:I68)),4),"")</f>
        <v/>
      </c>
      <c r="D75" s="55" t="str">
        <f>IFERROR(1-C75,"")</f>
        <v/>
      </c>
      <c r="E75" s="351"/>
      <c r="F75" s="293"/>
      <c r="G75" s="293"/>
      <c r="H75" s="293"/>
      <c r="I75" s="293"/>
    </row>
    <row r="76" spans="1:9">
      <c r="A76" s="352" t="s">
        <v>805</v>
      </c>
    </row>
    <row r="77" spans="1:9">
      <c r="A77" s="352"/>
    </row>
    <row r="78" spans="1:9">
      <c r="B78" s="335" t="s">
        <v>328</v>
      </c>
      <c r="C78" s="115"/>
      <c r="D78" s="336" t="s">
        <v>384</v>
      </c>
      <c r="E78"/>
      <c r="F78" s="1079"/>
      <c r="G78" s="1080"/>
      <c r="H78" s="1080"/>
      <c r="I78" s="1081"/>
    </row>
    <row r="79" spans="1:9">
      <c r="B79" s="329"/>
      <c r="C79" s="329"/>
      <c r="D79" s="329"/>
      <c r="E79"/>
      <c r="F79" s="1082"/>
      <c r="G79" s="1083"/>
      <c r="H79" s="1083"/>
      <c r="I79" s="1084"/>
    </row>
    <row r="80" spans="1:9">
      <c r="B80" s="52" t="s">
        <v>949</v>
      </c>
      <c r="C80" s="1085" t="str">
        <f>IF(G$10=0," ",G$10)</f>
        <v xml:space="preserve"> </v>
      </c>
      <c r="D80" s="1086"/>
      <c r="E80" s="1087"/>
      <c r="F80" s="337"/>
      <c r="G80" s="337"/>
      <c r="H80" s="337"/>
      <c r="I80" s="337"/>
    </row>
    <row r="81" spans="2:9">
      <c r="B81" s="52" t="s">
        <v>903</v>
      </c>
      <c r="C81" s="1085" t="str">
        <f>IF(G$11=0," ",G$11)</f>
        <v xml:space="preserve"> </v>
      </c>
      <c r="D81" s="1086"/>
      <c r="E81" s="1087"/>
      <c r="F81" s="1088" t="s">
        <v>92</v>
      </c>
      <c r="G81" s="1089"/>
      <c r="H81" s="1090"/>
      <c r="I81" s="910"/>
    </row>
    <row r="82" spans="2:9" outlineLevel="1">
      <c r="B82" s="339" t="s">
        <v>1</v>
      </c>
      <c r="C82" s="340" t="s">
        <v>2</v>
      </c>
      <c r="D82" s="340" t="s">
        <v>3</v>
      </c>
      <c r="E82" s="340" t="s">
        <v>4</v>
      </c>
      <c r="F82" s="340" t="s">
        <v>5</v>
      </c>
      <c r="G82" s="340" t="s">
        <v>6</v>
      </c>
      <c r="H82" s="341" t="s">
        <v>13</v>
      </c>
      <c r="I82" s="342" t="s">
        <v>8</v>
      </c>
    </row>
    <row r="83" spans="2:9" outlineLevel="1">
      <c r="B83" s="345" t="s">
        <v>397</v>
      </c>
      <c r="C83" s="904"/>
      <c r="D83" s="904"/>
      <c r="E83" s="904"/>
      <c r="F83" s="904"/>
      <c r="G83" s="904"/>
      <c r="H83" s="904"/>
      <c r="I83" s="904"/>
    </row>
    <row r="84" spans="2:9" outlineLevel="1">
      <c r="B84" s="345" t="s">
        <v>14</v>
      </c>
      <c r="C84" s="986"/>
      <c r="D84" s="986"/>
      <c r="E84" s="986"/>
      <c r="F84" s="904"/>
      <c r="G84" s="904"/>
      <c r="H84" s="904"/>
      <c r="I84" s="904"/>
    </row>
    <row r="85" spans="2:9" outlineLevel="1">
      <c r="B85" s="345" t="s">
        <v>9</v>
      </c>
      <c r="C85" s="934"/>
      <c r="D85" s="934"/>
      <c r="E85" s="934"/>
      <c r="F85" s="934"/>
      <c r="G85" s="934"/>
      <c r="H85" s="934"/>
      <c r="I85" s="934"/>
    </row>
    <row r="86" spans="2:9" outlineLevel="1">
      <c r="B86" s="345" t="s">
        <v>460</v>
      </c>
      <c r="C86" s="934"/>
      <c r="D86" s="934"/>
      <c r="E86" s="934"/>
      <c r="F86" s="934"/>
      <c r="G86" s="934"/>
      <c r="H86" s="934"/>
      <c r="I86" s="934"/>
    </row>
    <row r="87" spans="2:9" outlineLevel="1">
      <c r="B87" s="345" t="s">
        <v>10</v>
      </c>
      <c r="C87" s="934"/>
      <c r="D87" s="934"/>
      <c r="E87" s="934"/>
      <c r="F87" s="934"/>
      <c r="G87" s="934"/>
      <c r="H87" s="934"/>
      <c r="I87" s="934"/>
    </row>
    <row r="88" spans="2:9" outlineLevel="1">
      <c r="B88" s="328"/>
      <c r="C88" s="328"/>
      <c r="D88" s="328"/>
      <c r="E88" s="328"/>
      <c r="F88" s="328"/>
      <c r="G88" s="328"/>
      <c r="H88" s="293"/>
      <c r="I88" s="328"/>
    </row>
    <row r="89" spans="2:9" outlineLevel="1">
      <c r="B89" s="339" t="s">
        <v>15</v>
      </c>
      <c r="C89" s="347" t="s">
        <v>2</v>
      </c>
      <c r="D89" s="347" t="s">
        <v>3</v>
      </c>
      <c r="E89" s="347" t="s">
        <v>4</v>
      </c>
      <c r="F89" s="347" t="s">
        <v>5</v>
      </c>
      <c r="G89" s="347" t="s">
        <v>6</v>
      </c>
      <c r="H89" s="347" t="s">
        <v>7</v>
      </c>
      <c r="I89" s="347" t="s">
        <v>8</v>
      </c>
    </row>
    <row r="90" spans="2:9" outlineLevel="1">
      <c r="B90" s="348" t="s">
        <v>16</v>
      </c>
      <c r="C90" s="53">
        <v>0.3</v>
      </c>
      <c r="D90" s="53">
        <v>0.2</v>
      </c>
      <c r="E90" s="53">
        <v>0.125</v>
      </c>
      <c r="F90" s="53">
        <v>7.6923076923076927E-2</v>
      </c>
      <c r="G90" s="53">
        <v>0.2</v>
      </c>
      <c r="H90" s="53">
        <v>6.6666666666666666E-2</v>
      </c>
      <c r="I90" s="53">
        <v>0.05</v>
      </c>
    </row>
    <row r="91" spans="2:9" outlineLevel="1">
      <c r="B91" s="348" t="s">
        <v>17</v>
      </c>
      <c r="C91" s="53">
        <v>0.1</v>
      </c>
      <c r="D91" s="53">
        <v>6.6666666666666666E-2</v>
      </c>
      <c r="E91" s="53">
        <v>4.1666666666666664E-2</v>
      </c>
      <c r="F91" s="53">
        <v>3.8461538461538464E-2</v>
      </c>
      <c r="G91" s="53">
        <v>6.6666666666666666E-2</v>
      </c>
      <c r="H91" s="53">
        <v>3.3333333333333333E-2</v>
      </c>
      <c r="I91" s="53">
        <v>0.05</v>
      </c>
    </row>
    <row r="92" spans="2:9" outlineLevel="1">
      <c r="B92" s="328"/>
      <c r="C92" s="328"/>
      <c r="D92" s="328"/>
      <c r="E92" s="328"/>
      <c r="F92" s="328"/>
      <c r="G92" s="328"/>
      <c r="H92" s="328"/>
      <c r="I92" s="328"/>
    </row>
    <row r="93" spans="2:9" outlineLevel="1">
      <c r="B93" s="349" t="s">
        <v>18</v>
      </c>
      <c r="C93" s="349" t="s">
        <v>19</v>
      </c>
      <c r="D93" s="349" t="s">
        <v>20</v>
      </c>
      <c r="E93" s="350"/>
      <c r="F93" s="350"/>
      <c r="G93" s="350"/>
      <c r="H93" s="350"/>
      <c r="I93" s="350"/>
    </row>
    <row r="94" spans="2:9" ht="26" outlineLevel="1">
      <c r="B94" s="54" t="s">
        <v>242</v>
      </c>
      <c r="C94" s="55" t="str">
        <f>IFERROR(ROUND(SUMPRODUCT(C83:I83,C86:I86,C90:I90)/(SUMPRODUCT(C83:I83,C86:I86,C90:I90)+SUMPRODUCT(C84:I84,C86:I86,C90:I90)),4),"")</f>
        <v/>
      </c>
      <c r="D94" s="55" t="str">
        <f>IFERROR(1-C94,"")</f>
        <v/>
      </c>
      <c r="E94" s="351"/>
      <c r="F94" s="293"/>
      <c r="G94" s="293"/>
      <c r="H94" s="293"/>
      <c r="I94" s="293"/>
    </row>
    <row r="95" spans="2:9" ht="26" outlineLevel="1">
      <c r="B95" s="54" t="s">
        <v>243</v>
      </c>
      <c r="C95" s="55" t="str">
        <f>IFERROR(ROUND(SUMPRODUCT(C83:I83,C90:I90)/(SUMPRODUCT(C83:I83,C90:I90)+SUMPRODUCT(C84:I84,C90:I90)),4),"")</f>
        <v/>
      </c>
      <c r="D95" s="55" t="str">
        <f>IFERROR(1-C95,"")</f>
        <v/>
      </c>
      <c r="E95" s="351"/>
      <c r="F95" s="293"/>
      <c r="G95" s="293"/>
      <c r="H95" s="293"/>
      <c r="I95" s="293"/>
    </row>
    <row r="96" spans="2:9" ht="26" outlineLevel="1">
      <c r="B96" s="54" t="s">
        <v>244</v>
      </c>
      <c r="C96" s="55" t="str">
        <f>IFERROR(MIN(ROUND((SUMPRODUCT(C87:G87,C91:G91)+SUMPRODUCT(H83:I83,H91:I91))/SUMPRODUCT(C87:I87,C91:I91),4), 1), "")</f>
        <v/>
      </c>
      <c r="D96" s="55" t="str">
        <f>IFERROR(1-C96,"")</f>
        <v/>
      </c>
      <c r="E96" s="351"/>
      <c r="F96" s="293"/>
      <c r="G96" s="293"/>
      <c r="H96" s="293"/>
      <c r="I96" s="293"/>
    </row>
    <row r="97" spans="1:9" ht="26" outlineLevel="1">
      <c r="B97" s="54" t="s">
        <v>245</v>
      </c>
      <c r="C97" s="55" t="str">
        <f>IFERROR(ROUND(SUMPRODUCT(C83:I83,C86:I86,C90:I90)/(SUMPRODUCT(C83:I83,C86:I86,C90:I90)+SUMPRODUCT(C84:I84,C86:I86,C90:I90)),4),"")</f>
        <v/>
      </c>
      <c r="D97" s="55" t="str">
        <f>IFERROR(1-C97,"")</f>
        <v/>
      </c>
      <c r="E97" s="351"/>
      <c r="F97" s="293"/>
      <c r="G97" s="293"/>
      <c r="H97" s="293"/>
      <c r="I97" s="293"/>
    </row>
    <row r="98" spans="1:9">
      <c r="A98" s="352" t="s">
        <v>805</v>
      </c>
    </row>
    <row r="99" spans="1:9">
      <c r="A99" s="352"/>
    </row>
    <row r="100" spans="1:9">
      <c r="B100" s="335" t="s">
        <v>328</v>
      </c>
      <c r="C100" s="115"/>
      <c r="D100" s="336" t="s">
        <v>384</v>
      </c>
      <c r="E100"/>
      <c r="F100" s="1079"/>
      <c r="G100" s="1080"/>
      <c r="H100" s="1080"/>
      <c r="I100" s="1081"/>
    </row>
    <row r="101" spans="1:9">
      <c r="B101" s="329"/>
      <c r="C101" s="329"/>
      <c r="D101" s="329"/>
      <c r="E101"/>
      <c r="F101" s="1082"/>
      <c r="G101" s="1083"/>
      <c r="H101" s="1083"/>
      <c r="I101" s="1084"/>
    </row>
    <row r="102" spans="1:9">
      <c r="B102" s="52" t="s">
        <v>950</v>
      </c>
      <c r="C102" s="1085" t="str">
        <f>IF(H$10=0," ",H$10)</f>
        <v xml:space="preserve"> </v>
      </c>
      <c r="D102" s="1086"/>
      <c r="E102" s="1087"/>
      <c r="F102" s="337"/>
      <c r="G102" s="337"/>
      <c r="H102" s="337"/>
      <c r="I102" s="337"/>
    </row>
    <row r="103" spans="1:9">
      <c r="B103" s="52" t="s">
        <v>904</v>
      </c>
      <c r="C103" s="1085" t="str">
        <f>IF(H$11=0," ",H$11)</f>
        <v xml:space="preserve"> </v>
      </c>
      <c r="D103" s="1086"/>
      <c r="E103" s="1087"/>
      <c r="F103" s="1088" t="s">
        <v>92</v>
      </c>
      <c r="G103" s="1089"/>
      <c r="H103" s="1090"/>
      <c r="I103" s="910"/>
    </row>
    <row r="104" spans="1:9" outlineLevel="1">
      <c r="B104" s="339" t="s">
        <v>1</v>
      </c>
      <c r="C104" s="340" t="s">
        <v>2</v>
      </c>
      <c r="D104" s="340" t="s">
        <v>3</v>
      </c>
      <c r="E104" s="340" t="s">
        <v>4</v>
      </c>
      <c r="F104" s="340" t="s">
        <v>5</v>
      </c>
      <c r="G104" s="340" t="s">
        <v>6</v>
      </c>
      <c r="H104" s="341" t="s">
        <v>13</v>
      </c>
      <c r="I104" s="342" t="s">
        <v>8</v>
      </c>
    </row>
    <row r="105" spans="1:9" outlineLevel="1">
      <c r="B105" s="345" t="s">
        <v>397</v>
      </c>
      <c r="C105" s="904"/>
      <c r="D105" s="904"/>
      <c r="E105" s="904"/>
      <c r="F105" s="904"/>
      <c r="G105" s="904"/>
      <c r="H105" s="904"/>
      <c r="I105" s="904"/>
    </row>
    <row r="106" spans="1:9" outlineLevel="1">
      <c r="B106" s="345" t="s">
        <v>14</v>
      </c>
      <c r="C106" s="986"/>
      <c r="D106" s="986"/>
      <c r="E106" s="986"/>
      <c r="F106" s="904"/>
      <c r="G106" s="904"/>
      <c r="H106" s="904"/>
      <c r="I106" s="904"/>
    </row>
    <row r="107" spans="1:9" outlineLevel="1">
      <c r="B107" s="345" t="s">
        <v>9</v>
      </c>
      <c r="C107" s="934"/>
      <c r="D107" s="934"/>
      <c r="E107" s="934"/>
      <c r="F107" s="934"/>
      <c r="G107" s="934"/>
      <c r="H107" s="934"/>
      <c r="I107" s="934"/>
    </row>
    <row r="108" spans="1:9" outlineLevel="1">
      <c r="B108" s="345" t="s">
        <v>460</v>
      </c>
      <c r="C108" s="934"/>
      <c r="D108" s="934"/>
      <c r="E108" s="934"/>
      <c r="F108" s="934"/>
      <c r="G108" s="934"/>
      <c r="H108" s="934"/>
      <c r="I108" s="934"/>
    </row>
    <row r="109" spans="1:9" outlineLevel="1">
      <c r="B109" s="345" t="s">
        <v>10</v>
      </c>
      <c r="C109" s="934"/>
      <c r="D109" s="934"/>
      <c r="E109" s="934"/>
      <c r="F109" s="934"/>
      <c r="G109" s="934"/>
      <c r="H109" s="934"/>
      <c r="I109" s="934"/>
    </row>
    <row r="110" spans="1:9" outlineLevel="1">
      <c r="B110" s="328"/>
      <c r="C110" s="328"/>
      <c r="D110" s="328"/>
      <c r="E110" s="328"/>
      <c r="F110" s="328"/>
      <c r="G110" s="328"/>
      <c r="H110" s="293"/>
      <c r="I110" s="328"/>
    </row>
    <row r="111" spans="1:9" outlineLevel="1">
      <c r="B111" s="339" t="s">
        <v>15</v>
      </c>
      <c r="C111" s="347" t="s">
        <v>2</v>
      </c>
      <c r="D111" s="347" t="s">
        <v>3</v>
      </c>
      <c r="E111" s="347" t="s">
        <v>4</v>
      </c>
      <c r="F111" s="347" t="s">
        <v>5</v>
      </c>
      <c r="G111" s="347" t="s">
        <v>6</v>
      </c>
      <c r="H111" s="347" t="s">
        <v>7</v>
      </c>
      <c r="I111" s="347" t="s">
        <v>8</v>
      </c>
    </row>
    <row r="112" spans="1:9" outlineLevel="1">
      <c r="B112" s="348" t="s">
        <v>16</v>
      </c>
      <c r="C112" s="53">
        <v>0.3</v>
      </c>
      <c r="D112" s="53">
        <v>0.2</v>
      </c>
      <c r="E112" s="53">
        <v>0.125</v>
      </c>
      <c r="F112" s="53">
        <v>7.6923076923076927E-2</v>
      </c>
      <c r="G112" s="53">
        <v>0.2</v>
      </c>
      <c r="H112" s="53">
        <v>6.6666666666666666E-2</v>
      </c>
      <c r="I112" s="53">
        <v>0.05</v>
      </c>
    </row>
    <row r="113" spans="1:9" outlineLevel="1">
      <c r="B113" s="348" t="s">
        <v>17</v>
      </c>
      <c r="C113" s="53">
        <v>0.1</v>
      </c>
      <c r="D113" s="53">
        <v>6.6666666666666666E-2</v>
      </c>
      <c r="E113" s="53">
        <v>4.1666666666666664E-2</v>
      </c>
      <c r="F113" s="53">
        <v>3.8461538461538464E-2</v>
      </c>
      <c r="G113" s="53">
        <v>6.6666666666666666E-2</v>
      </c>
      <c r="H113" s="53">
        <v>3.3333333333333333E-2</v>
      </c>
      <c r="I113" s="53">
        <v>0.05</v>
      </c>
    </row>
    <row r="114" spans="1:9" outlineLevel="1">
      <c r="B114" s="328"/>
      <c r="C114" s="328"/>
      <c r="D114" s="328"/>
      <c r="E114" s="328"/>
      <c r="F114" s="328"/>
      <c r="G114" s="328"/>
      <c r="H114" s="328"/>
      <c r="I114" s="328"/>
    </row>
    <row r="115" spans="1:9" outlineLevel="1">
      <c r="B115" s="349" t="s">
        <v>18</v>
      </c>
      <c r="C115" s="349" t="s">
        <v>19</v>
      </c>
      <c r="D115" s="349" t="s">
        <v>20</v>
      </c>
      <c r="E115" s="350"/>
      <c r="F115" s="350"/>
      <c r="G115" s="350"/>
      <c r="H115" s="350"/>
      <c r="I115" s="350"/>
    </row>
    <row r="116" spans="1:9" ht="26" outlineLevel="1">
      <c r="B116" s="54" t="s">
        <v>242</v>
      </c>
      <c r="C116" s="55" t="str">
        <f>IFERROR(ROUND(SUMPRODUCT(C105:I105,C108:I108,C112:I112)/(SUMPRODUCT(C105:I105,C108:I108,C112:I112)+SUMPRODUCT(C106:I106,C108:I108,C112:I112)),4),"")</f>
        <v/>
      </c>
      <c r="D116" s="55" t="str">
        <f>IFERROR(1-C116,"")</f>
        <v/>
      </c>
      <c r="E116" s="351"/>
      <c r="F116" s="293"/>
      <c r="G116" s="293"/>
      <c r="H116" s="293"/>
      <c r="I116" s="293"/>
    </row>
    <row r="117" spans="1:9" ht="26" outlineLevel="1">
      <c r="B117" s="54" t="s">
        <v>243</v>
      </c>
      <c r="C117" s="55" t="str">
        <f>IFERROR(ROUND(SUMPRODUCT(C105:I105,C112:I112)/(SUMPRODUCT(C105:I105,C112:I112)+SUMPRODUCT(C106:I106,C112:I112)),4),"")</f>
        <v/>
      </c>
      <c r="D117" s="55" t="str">
        <f>IFERROR(1-C117,"")</f>
        <v/>
      </c>
      <c r="E117" s="351"/>
      <c r="F117" s="293"/>
      <c r="G117" s="293"/>
      <c r="H117" s="293"/>
      <c r="I117" s="293"/>
    </row>
    <row r="118" spans="1:9" ht="26" outlineLevel="1">
      <c r="B118" s="54" t="s">
        <v>244</v>
      </c>
      <c r="C118" s="55" t="str">
        <f>IFERROR(MIN(ROUND((SUMPRODUCT(C109:G109,C113:G113)+SUMPRODUCT(H105:I105,H113:I113))/SUMPRODUCT(C109:I109,C113:I113),4), 1), "")</f>
        <v/>
      </c>
      <c r="D118" s="55" t="str">
        <f>IFERROR(1-C118,"")</f>
        <v/>
      </c>
      <c r="E118" s="351"/>
      <c r="F118" s="293"/>
      <c r="G118" s="293"/>
      <c r="H118" s="293"/>
      <c r="I118" s="293"/>
    </row>
    <row r="119" spans="1:9" ht="26" outlineLevel="1">
      <c r="B119" s="54" t="s">
        <v>245</v>
      </c>
      <c r="C119" s="55" t="str">
        <f>IFERROR(ROUND(SUMPRODUCT(C105:I105,C108:I108,C112:I112)/(SUMPRODUCT(C105:I105,C108:I108,C112:I112)+SUMPRODUCT(C106:I106,C108:I108,C112:I112)),4),"")</f>
        <v/>
      </c>
      <c r="D119" s="55" t="str">
        <f>IFERROR(1-C119,"")</f>
        <v/>
      </c>
      <c r="E119" s="351"/>
      <c r="F119" s="293"/>
      <c r="G119" s="293"/>
      <c r="H119" s="293"/>
      <c r="I119" s="293"/>
    </row>
    <row r="120" spans="1:9">
      <c r="A120" s="352" t="s">
        <v>805</v>
      </c>
    </row>
    <row r="121" spans="1:9">
      <c r="A121" s="352"/>
    </row>
    <row r="122" spans="1:9">
      <c r="B122" s="335" t="s">
        <v>328</v>
      </c>
      <c r="C122" s="115"/>
      <c r="D122" s="336" t="s">
        <v>384</v>
      </c>
      <c r="E122"/>
      <c r="F122" s="1079"/>
      <c r="G122" s="1080"/>
      <c r="H122" s="1080"/>
      <c r="I122" s="1081"/>
    </row>
    <row r="123" spans="1:9">
      <c r="B123" s="329"/>
      <c r="C123" s="329"/>
      <c r="D123" s="329"/>
      <c r="E123"/>
      <c r="F123" s="1082"/>
      <c r="G123" s="1083"/>
      <c r="H123" s="1083"/>
      <c r="I123" s="1084"/>
    </row>
    <row r="124" spans="1:9">
      <c r="B124" s="52" t="s">
        <v>951</v>
      </c>
      <c r="C124" s="1085" t="str">
        <f>IF(I$10=0," ",I$10)</f>
        <v xml:space="preserve"> </v>
      </c>
      <c r="D124" s="1086"/>
      <c r="E124" s="1087"/>
      <c r="F124" s="337"/>
      <c r="G124" s="337"/>
      <c r="H124" s="337"/>
      <c r="I124" s="337"/>
    </row>
    <row r="125" spans="1:9">
      <c r="B125" s="52" t="s">
        <v>905</v>
      </c>
      <c r="C125" s="1085" t="str">
        <f>IF(I$11=0," ",I$11)</f>
        <v xml:space="preserve"> </v>
      </c>
      <c r="D125" s="1086"/>
      <c r="E125" s="1087"/>
      <c r="F125" s="1088" t="s">
        <v>92</v>
      </c>
      <c r="G125" s="1089"/>
      <c r="H125" s="1090"/>
      <c r="I125" s="911"/>
    </row>
    <row r="126" spans="1:9" outlineLevel="1">
      <c r="B126" s="339" t="s">
        <v>1</v>
      </c>
      <c r="C126" s="340" t="s">
        <v>2</v>
      </c>
      <c r="D126" s="340" t="s">
        <v>3</v>
      </c>
      <c r="E126" s="340" t="s">
        <v>4</v>
      </c>
      <c r="F126" s="340" t="s">
        <v>5</v>
      </c>
      <c r="G126" s="340" t="s">
        <v>6</v>
      </c>
      <c r="H126" s="341" t="s">
        <v>13</v>
      </c>
      <c r="I126" s="342" t="s">
        <v>8</v>
      </c>
    </row>
    <row r="127" spans="1:9" outlineLevel="1">
      <c r="B127" s="345" t="s">
        <v>397</v>
      </c>
      <c r="C127" s="904"/>
      <c r="D127" s="904"/>
      <c r="E127" s="904"/>
      <c r="F127" s="904"/>
      <c r="G127" s="904"/>
      <c r="H127" s="904"/>
      <c r="I127" s="904"/>
    </row>
    <row r="128" spans="1:9" outlineLevel="1">
      <c r="B128" s="345" t="s">
        <v>14</v>
      </c>
      <c r="C128" s="986"/>
      <c r="D128" s="986"/>
      <c r="E128" s="986"/>
      <c r="F128" s="904"/>
      <c r="G128" s="904"/>
      <c r="H128" s="904"/>
      <c r="I128" s="904"/>
    </row>
    <row r="129" spans="1:9" outlineLevel="1">
      <c r="B129" s="345" t="s">
        <v>9</v>
      </c>
      <c r="C129" s="934"/>
      <c r="D129" s="934"/>
      <c r="E129" s="934"/>
      <c r="F129" s="934"/>
      <c r="G129" s="934"/>
      <c r="H129" s="934"/>
      <c r="I129" s="934"/>
    </row>
    <row r="130" spans="1:9" outlineLevel="1">
      <c r="B130" s="345" t="s">
        <v>460</v>
      </c>
      <c r="C130" s="934"/>
      <c r="D130" s="934"/>
      <c r="E130" s="934"/>
      <c r="F130" s="934"/>
      <c r="G130" s="934"/>
      <c r="H130" s="934"/>
      <c r="I130" s="934"/>
    </row>
    <row r="131" spans="1:9" outlineLevel="1">
      <c r="B131" s="345" t="s">
        <v>10</v>
      </c>
      <c r="C131" s="934"/>
      <c r="D131" s="934"/>
      <c r="E131" s="934"/>
      <c r="F131" s="934"/>
      <c r="G131" s="934"/>
      <c r="H131" s="934"/>
      <c r="I131" s="934"/>
    </row>
    <row r="132" spans="1:9" outlineLevel="1">
      <c r="B132" s="328"/>
      <c r="C132" s="328"/>
      <c r="D132" s="328"/>
      <c r="E132" s="328"/>
      <c r="F132" s="328"/>
      <c r="G132" s="328"/>
      <c r="H132" s="293"/>
      <c r="I132" s="328"/>
    </row>
    <row r="133" spans="1:9" outlineLevel="1">
      <c r="B133" s="339" t="s">
        <v>15</v>
      </c>
      <c r="C133" s="347" t="s">
        <v>2</v>
      </c>
      <c r="D133" s="347" t="s">
        <v>3</v>
      </c>
      <c r="E133" s="347" t="s">
        <v>4</v>
      </c>
      <c r="F133" s="347" t="s">
        <v>5</v>
      </c>
      <c r="G133" s="347" t="s">
        <v>6</v>
      </c>
      <c r="H133" s="347" t="s">
        <v>7</v>
      </c>
      <c r="I133" s="347" t="s">
        <v>8</v>
      </c>
    </row>
    <row r="134" spans="1:9" outlineLevel="1">
      <c r="B134" s="348" t="s">
        <v>16</v>
      </c>
      <c r="C134" s="53">
        <v>0.3</v>
      </c>
      <c r="D134" s="53">
        <v>0.2</v>
      </c>
      <c r="E134" s="53">
        <v>0.125</v>
      </c>
      <c r="F134" s="53">
        <v>7.6923076923076927E-2</v>
      </c>
      <c r="G134" s="53">
        <v>0.2</v>
      </c>
      <c r="H134" s="53">
        <v>6.6666666666666666E-2</v>
      </c>
      <c r="I134" s="53">
        <v>0.05</v>
      </c>
    </row>
    <row r="135" spans="1:9" outlineLevel="1">
      <c r="B135" s="348" t="s">
        <v>17</v>
      </c>
      <c r="C135" s="53">
        <v>0.1</v>
      </c>
      <c r="D135" s="53">
        <v>6.6666666666666666E-2</v>
      </c>
      <c r="E135" s="53">
        <v>4.1666666666666664E-2</v>
      </c>
      <c r="F135" s="53">
        <v>3.8461538461538464E-2</v>
      </c>
      <c r="G135" s="53">
        <v>6.6666666666666666E-2</v>
      </c>
      <c r="H135" s="53">
        <v>3.3333333333333333E-2</v>
      </c>
      <c r="I135" s="53">
        <v>0.05</v>
      </c>
    </row>
    <row r="136" spans="1:9" outlineLevel="1">
      <c r="B136" s="328"/>
      <c r="C136" s="328"/>
      <c r="D136" s="328"/>
      <c r="E136" s="328"/>
      <c r="F136" s="328"/>
      <c r="G136" s="328"/>
      <c r="H136" s="328"/>
      <c r="I136" s="328"/>
    </row>
    <row r="137" spans="1:9" outlineLevel="1">
      <c r="B137" s="349" t="s">
        <v>18</v>
      </c>
      <c r="C137" s="349" t="s">
        <v>19</v>
      </c>
      <c r="D137" s="349" t="s">
        <v>20</v>
      </c>
      <c r="E137" s="350"/>
      <c r="F137" s="350"/>
      <c r="G137" s="350"/>
      <c r="H137" s="350"/>
      <c r="I137" s="350"/>
    </row>
    <row r="138" spans="1:9" ht="26" outlineLevel="1">
      <c r="B138" s="54" t="s">
        <v>242</v>
      </c>
      <c r="C138" s="55" t="str">
        <f>IFERROR(ROUND(SUMPRODUCT(C127:I127,C130:I130,C134:I134)/(SUMPRODUCT(C127:I127,C130:I130,C134:I134)+SUMPRODUCT(C128:I128,C130:I130,C134:I134)),4),"")</f>
        <v/>
      </c>
      <c r="D138" s="55" t="str">
        <f>IFERROR(1-C138,"")</f>
        <v/>
      </c>
      <c r="E138" s="351"/>
      <c r="F138" s="293"/>
      <c r="G138" s="293"/>
      <c r="H138" s="293"/>
      <c r="I138" s="293"/>
    </row>
    <row r="139" spans="1:9" ht="26" outlineLevel="1">
      <c r="B139" s="54" t="s">
        <v>243</v>
      </c>
      <c r="C139" s="55" t="str">
        <f>IFERROR(ROUND(SUMPRODUCT(C127:I127,C134:I134)/(SUMPRODUCT(C127:I127,C134:I134)+SUMPRODUCT(C128:I128,C134:I134)),4),"")</f>
        <v/>
      </c>
      <c r="D139" s="55" t="str">
        <f>IFERROR(1-C139,"")</f>
        <v/>
      </c>
      <c r="E139" s="351"/>
      <c r="F139" s="293"/>
      <c r="G139" s="293"/>
      <c r="H139" s="293"/>
      <c r="I139" s="293"/>
    </row>
    <row r="140" spans="1:9" ht="26" outlineLevel="1">
      <c r="B140" s="54" t="s">
        <v>244</v>
      </c>
      <c r="C140" s="55" t="str">
        <f>IFERROR(MIN(ROUND((SUMPRODUCT(C131:G131,C135:G135)+SUMPRODUCT(H127:I127,H135:I135))/SUMPRODUCT(C131:I131,C135:I135),4), 1), "")</f>
        <v/>
      </c>
      <c r="D140" s="55" t="str">
        <f>IFERROR(1-C140,"")</f>
        <v/>
      </c>
      <c r="E140" s="351"/>
      <c r="F140" s="293"/>
      <c r="G140" s="293"/>
      <c r="H140" s="293"/>
      <c r="I140" s="293"/>
    </row>
    <row r="141" spans="1:9" ht="26" outlineLevel="1">
      <c r="B141" s="54" t="s">
        <v>245</v>
      </c>
      <c r="C141" s="55" t="str">
        <f>IFERROR(ROUND(SUMPRODUCT(C127:I127,C130:I130,C134:I134)/(SUMPRODUCT(C127:I127,C130:I130,C134:I134)+SUMPRODUCT(C128:I128,C130:I130,C134:I134)),4),"")</f>
        <v/>
      </c>
      <c r="D141" s="55" t="str">
        <f>IFERROR(1-C141,"")</f>
        <v/>
      </c>
      <c r="E141" s="351"/>
      <c r="F141" s="293"/>
      <c r="G141" s="293"/>
      <c r="H141" s="293"/>
      <c r="I141" s="293"/>
    </row>
    <row r="142" spans="1:9">
      <c r="A142" s="352" t="s">
        <v>805</v>
      </c>
    </row>
  </sheetData>
  <sheetProtection algorithmName="SHA-512" hashValue="jK69soHtvJjqMkYUCqd1tU6qzZS8z+9Cb1wu6clMqGJZ6skLd8b5xnqtQ+APE+kD0r16F8Ymu7ry5fzW9+xRsg==" saltValue="C/Hlx4idvoHZ7RLvL88PLg==" spinCount="100000" sheet="1" formatRows="0"/>
  <mergeCells count="36">
    <mergeCell ref="J9:J11"/>
    <mergeCell ref="C103:E103"/>
    <mergeCell ref="F103:H103"/>
    <mergeCell ref="F122:I123"/>
    <mergeCell ref="C125:E125"/>
    <mergeCell ref="F125:H125"/>
    <mergeCell ref="C124:E124"/>
    <mergeCell ref="C102:E102"/>
    <mergeCell ref="B32:I32"/>
    <mergeCell ref="F34:I35"/>
    <mergeCell ref="F37:H37"/>
    <mergeCell ref="C12:D12"/>
    <mergeCell ref="C37:E37"/>
    <mergeCell ref="F56:I57"/>
    <mergeCell ref="C59:E59"/>
    <mergeCell ref="F59:H59"/>
    <mergeCell ref="P29:U30"/>
    <mergeCell ref="B29:I29"/>
    <mergeCell ref="B30:H30"/>
    <mergeCell ref="B13:B22"/>
    <mergeCell ref="B24:D24"/>
    <mergeCell ref="C13:C20"/>
    <mergeCell ref="C22:D22"/>
    <mergeCell ref="C23:D23"/>
    <mergeCell ref="C21:D21"/>
    <mergeCell ref="B27:I27"/>
    <mergeCell ref="F78:I79"/>
    <mergeCell ref="C81:E81"/>
    <mergeCell ref="F81:H81"/>
    <mergeCell ref="F100:I101"/>
    <mergeCell ref="B1:I1"/>
    <mergeCell ref="B8:I8"/>
    <mergeCell ref="C36:E36"/>
    <mergeCell ref="C58:E58"/>
    <mergeCell ref="C80:E80"/>
    <mergeCell ref="B4:I6"/>
  </mergeCells>
  <phoneticPr fontId="5" type="noConversion"/>
  <conditionalFormatting sqref="C34 F34 I37 C39:I43 C56 F56 I59 C61:I65 C78 F78 I81 C83:I87 C100 F100 I103 C105:I109 C122 F122 I125 C127:I131">
    <cfRule type="cellIs" dxfId="152" priority="7" operator="notEqual">
      <formula>""</formula>
    </cfRule>
  </conditionalFormatting>
  <conditionalFormatting sqref="E10:I11">
    <cfRule type="cellIs" dxfId="151" priority="12" operator="notEqual">
      <formula>""</formula>
    </cfRule>
  </conditionalFormatting>
  <conditionalFormatting sqref="E13:J19">
    <cfRule type="cellIs" dxfId="150" priority="5" operator="notEqual">
      <formula>""</formula>
    </cfRule>
  </conditionalFormatting>
  <conditionalFormatting sqref="E21:J21">
    <cfRule type="cellIs" dxfId="149" priority="4" operator="notEqual">
      <formula>""</formula>
    </cfRule>
  </conditionalFormatting>
  <conditionalFormatting sqref="E23:J23">
    <cfRule type="cellIs" dxfId="148" priority="3" operator="notEqual">
      <formula>""</formula>
    </cfRule>
  </conditionalFormatting>
  <dataValidations count="3">
    <dataValidation type="decimal" allowBlank="1" showInputMessage="1" showErrorMessage="1" errorTitle="Error" error="Must be between 0 and 100%" sqref="C50:D53 C72:D75 C94:D97 C116:D119 C138:D141" xr:uid="{A8D3BCD6-97CE-4262-BD25-5ECA57E1C6B0}">
      <formula1>0</formula1>
      <formula2>1</formula2>
    </dataValidation>
    <dataValidation type="decimal" allowBlank="1" showInputMessage="1" showErrorMessage="1" prompt="Input value from 1 to 12" sqref="I125 I37 I59 I81 I103" xr:uid="{64FD431D-44F8-4AEB-9A66-5BF2485C5589}">
      <formula1>1</formula1>
      <formula2>12</formula2>
    </dataValidation>
    <dataValidation type="whole" operator="lessThan" allowBlank="1" showInputMessage="1" showErrorMessage="1" sqref="E21:I21" xr:uid="{83643DDC-AE3B-45BD-AF64-A07F65CEE125}">
      <formula1>0</formula1>
    </dataValidation>
  </dataValidations>
  <pageMargins left="0.7" right="0.7" top="0.75" bottom="0.75" header="0.3" footer="0.3"/>
  <pageSetup scale="89" orientation="landscape"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74779-FD00-4BCB-A8C2-EC0CC9B5A9C0}">
  <sheetPr>
    <tabColor rgb="FFFFC000"/>
  </sheetPr>
  <dimension ref="A1:M114"/>
  <sheetViews>
    <sheetView showGridLines="0" zoomScale="80" workbookViewId="0">
      <selection activeCell="E20" sqref="E20"/>
    </sheetView>
  </sheetViews>
  <sheetFormatPr defaultColWidth="0" defaultRowHeight="15" zeroHeight="1"/>
  <cols>
    <col min="1" max="1" width="3.1796875" style="1" customWidth="1"/>
    <col min="2" max="2" width="8.453125" style="1" customWidth="1"/>
    <col min="3" max="3" width="106.54296875" style="1" customWidth="1"/>
    <col min="4" max="4" width="8.453125" style="198" bestFit="1" customWidth="1"/>
    <col min="5" max="5" width="32" style="183" customWidth="1"/>
    <col min="6" max="6" width="27.453125" style="184" customWidth="1"/>
    <col min="7" max="7" width="43.1796875" style="1" hidden="1" customWidth="1"/>
    <col min="8" max="8" width="21.7265625" style="205" hidden="1" customWidth="1"/>
    <col min="9" max="9" width="7.1796875" style="1" hidden="1" customWidth="1"/>
    <col min="10" max="16384" width="9.1796875" style="1" hidden="1"/>
  </cols>
  <sheetData>
    <row r="1" spans="1:13" ht="26">
      <c r="A1" s="1211" t="s">
        <v>734</v>
      </c>
      <c r="B1" s="1210"/>
      <c r="C1" s="1210"/>
      <c r="D1" s="1210"/>
      <c r="E1" s="1210"/>
      <c r="F1" s="1210"/>
      <c r="G1" s="1210"/>
      <c r="H1" s="1210"/>
      <c r="I1" s="1210"/>
    </row>
    <row r="2" spans="1:13"/>
    <row r="3" spans="1:13" s="180" customFormat="1" ht="34.5" customHeight="1">
      <c r="A3" s="122" t="s">
        <v>487</v>
      </c>
      <c r="B3" s="123"/>
      <c r="C3" s="124"/>
      <c r="D3" s="179"/>
      <c r="E3" s="125"/>
      <c r="F3" s="126"/>
    </row>
    <row r="4" spans="1:13" ht="20">
      <c r="A4" s="181"/>
      <c r="B4" s="127"/>
      <c r="C4" s="127"/>
      <c r="D4" s="182"/>
      <c r="H4" s="1"/>
    </row>
    <row r="5" spans="1:13">
      <c r="A5" s="127"/>
      <c r="B5" s="127"/>
      <c r="C5" s="127"/>
      <c r="D5" s="182"/>
      <c r="H5" s="185"/>
    </row>
    <row r="6" spans="1:13" ht="17.5">
      <c r="B6" s="132" t="s">
        <v>488</v>
      </c>
      <c r="C6" s="133"/>
      <c r="D6" s="133"/>
      <c r="E6" s="133"/>
      <c r="F6" s="186"/>
      <c r="G6" s="186"/>
      <c r="H6" s="186"/>
      <c r="J6"/>
      <c r="K6" s="185"/>
      <c r="M6"/>
    </row>
    <row r="7" spans="1:13" ht="15.5">
      <c r="B7" s="187" t="s">
        <v>609</v>
      </c>
      <c r="C7" s="133"/>
      <c r="D7" s="133"/>
      <c r="E7" s="133"/>
      <c r="F7" s="186"/>
      <c r="G7" s="186"/>
      <c r="H7" s="186"/>
      <c r="J7"/>
      <c r="K7" s="185"/>
      <c r="L7" s="127"/>
      <c r="M7"/>
    </row>
    <row r="8" spans="1:13" s="134" customFormat="1">
      <c r="B8" s="135" t="s">
        <v>610</v>
      </c>
      <c r="C8" s="136"/>
      <c r="D8" s="136"/>
      <c r="E8" s="188" t="s">
        <v>726</v>
      </c>
      <c r="G8" s="189"/>
      <c r="H8" s="189"/>
      <c r="I8" s="1"/>
      <c r="L8" s="190"/>
    </row>
    <row r="9" spans="1:13" s="134" customFormat="1">
      <c r="B9" s="135" t="s">
        <v>301</v>
      </c>
      <c r="C9" s="136"/>
      <c r="D9" s="191" t="s">
        <v>491</v>
      </c>
      <c r="E9" s="882">
        <f>'A6e. Operations-Site 5'!F7</f>
        <v>0</v>
      </c>
      <c r="G9" s="193"/>
      <c r="H9" s="193"/>
      <c r="I9" s="1"/>
      <c r="K9" s="194"/>
      <c r="L9" s="190"/>
    </row>
    <row r="10" spans="1:13" s="134" customFormat="1">
      <c r="B10" s="135" t="s">
        <v>492</v>
      </c>
      <c r="D10" s="191" t="s">
        <v>493</v>
      </c>
      <c r="E10" s="192">
        <f>'A11.SFR&amp; Attestation Site 5'!F9</f>
        <v>0</v>
      </c>
      <c r="G10" s="193"/>
      <c r="H10" s="193"/>
      <c r="K10" s="194"/>
    </row>
    <row r="11" spans="1:13" s="134" customFormat="1">
      <c r="B11" s="135" t="s">
        <v>611</v>
      </c>
      <c r="C11" s="136"/>
      <c r="D11" s="191" t="s">
        <v>502</v>
      </c>
      <c r="E11" s="192">
        <v>2025</v>
      </c>
      <c r="G11" s="195"/>
      <c r="H11" s="195"/>
      <c r="I11" s="1"/>
      <c r="L11" s="190"/>
    </row>
    <row r="12" spans="1:13" ht="7.5" customHeight="1">
      <c r="C12" s="148"/>
      <c r="D12" s="182"/>
      <c r="E12" s="196"/>
      <c r="H12" s="185"/>
    </row>
    <row r="13" spans="1:13">
      <c r="A13" s="127"/>
      <c r="B13" s="197" t="s">
        <v>612</v>
      </c>
      <c r="H13" s="185"/>
    </row>
    <row r="14" spans="1:13">
      <c r="A14" s="127"/>
      <c r="B14" s="187" t="s">
        <v>613</v>
      </c>
      <c r="F14" s="528"/>
      <c r="H14" s="185"/>
    </row>
    <row r="15" spans="1:13" ht="30">
      <c r="B15" s="199"/>
      <c r="C15" s="200" t="s">
        <v>614</v>
      </c>
      <c r="D15" s="201" t="s">
        <v>615</v>
      </c>
      <c r="E15" s="974">
        <f>'A2.Allocation &amp; Operating Plan'!I24</f>
        <v>0</v>
      </c>
      <c r="F15" s="988"/>
      <c r="H15" s="185"/>
    </row>
    <row r="16" spans="1:13">
      <c r="B16" s="203"/>
      <c r="C16" s="194" t="s">
        <v>616</v>
      </c>
      <c r="D16" s="201" t="s">
        <v>617</v>
      </c>
      <c r="E16" s="974">
        <f>'A3. Peel Region Grants'!H70+'A3. Peel Region Grants'!H111</f>
        <v>0</v>
      </c>
      <c r="F16" s="989"/>
      <c r="H16" s="185"/>
    </row>
    <row r="17" spans="1:9" ht="7.5" customHeight="1">
      <c r="C17" s="148"/>
      <c r="D17" s="182"/>
      <c r="E17" s="196"/>
      <c r="F17" s="528"/>
      <c r="H17" s="185"/>
    </row>
    <row r="18" spans="1:9">
      <c r="A18" s="127"/>
      <c r="B18" s="187" t="s">
        <v>618</v>
      </c>
      <c r="F18" s="528"/>
      <c r="H18" s="185"/>
    </row>
    <row r="19" spans="1:9">
      <c r="A19" s="127"/>
      <c r="B19" s="187" t="s">
        <v>619</v>
      </c>
      <c r="F19" s="528"/>
      <c r="H19" s="185"/>
    </row>
    <row r="20" spans="1:9">
      <c r="A20" s="127"/>
      <c r="B20" s="203"/>
      <c r="C20" s="135" t="s">
        <v>620</v>
      </c>
      <c r="D20" s="163" t="s">
        <v>621</v>
      </c>
      <c r="E20" s="975">
        <f>'A2.Allocation &amp; Operating Plan'!I13+'A2.Allocation &amp; Operating Plan'!I14+'A2.Allocation &amp; Operating Plan'!I15+'A2.Allocation &amp; Operating Plan'!I16+'A2.Allocation &amp; Operating Plan'!I17</f>
        <v>0</v>
      </c>
      <c r="F20" s="990"/>
    </row>
    <row r="21" spans="1:9">
      <c r="A21" s="127"/>
      <c r="B21" s="151"/>
      <c r="C21" s="206" t="s">
        <v>622</v>
      </c>
      <c r="D21" s="163" t="s">
        <v>623</v>
      </c>
      <c r="E21" s="975">
        <f>'A2.Allocation &amp; Operating Plan'!I18</f>
        <v>0</v>
      </c>
      <c r="F21" s="990"/>
      <c r="G21" s="207"/>
      <c r="H21" s="207"/>
      <c r="I21" s="207"/>
    </row>
    <row r="22" spans="1:9">
      <c r="A22" s="127"/>
      <c r="B22" s="151"/>
      <c r="C22" s="206" t="s">
        <v>624</v>
      </c>
      <c r="D22" s="163" t="s">
        <v>625</v>
      </c>
      <c r="E22" s="975">
        <f>'A2.Allocation &amp; Operating Plan'!I19</f>
        <v>0</v>
      </c>
      <c r="F22" s="990"/>
      <c r="G22" s="207"/>
      <c r="H22" s="207"/>
      <c r="I22" s="207"/>
    </row>
    <row r="23" spans="1:9">
      <c r="A23" s="127"/>
      <c r="B23" s="151"/>
      <c r="C23" s="208" t="s">
        <v>626</v>
      </c>
      <c r="D23" s="209"/>
      <c r="E23" s="210">
        <f>SUM(E20:E22)</f>
        <v>0</v>
      </c>
      <c r="F23" s="990"/>
      <c r="H23" s="1"/>
    </row>
    <row r="24" spans="1:9">
      <c r="B24" s="151"/>
      <c r="C24" s="206" t="s">
        <v>627</v>
      </c>
      <c r="D24" s="163" t="s">
        <v>628</v>
      </c>
      <c r="E24" s="975">
        <f>'A2.Allocation &amp; Operating Plan'!I23</f>
        <v>0</v>
      </c>
      <c r="F24" s="990"/>
      <c r="H24" s="185"/>
    </row>
    <row r="25" spans="1:9">
      <c r="B25" s="151"/>
      <c r="C25" s="206" t="s">
        <v>629</v>
      </c>
      <c r="D25" s="163" t="s">
        <v>630</v>
      </c>
      <c r="E25" s="975">
        <f>'A2.Allocation &amp; Operating Plan'!I21</f>
        <v>0</v>
      </c>
      <c r="F25" s="995"/>
      <c r="H25" s="185"/>
    </row>
    <row r="26" spans="1:9">
      <c r="A26" s="127"/>
      <c r="B26" s="151"/>
      <c r="C26" s="208" t="s">
        <v>631</v>
      </c>
      <c r="D26" s="209"/>
      <c r="E26" s="210">
        <f>SUM(E23:E25)</f>
        <v>0</v>
      </c>
      <c r="F26" s="212"/>
      <c r="H26" s="185"/>
    </row>
    <row r="27" spans="1:9">
      <c r="A27" s="148"/>
      <c r="B27" s="151"/>
      <c r="C27" s="213" t="s">
        <v>632</v>
      </c>
      <c r="D27" s="163" t="s">
        <v>633</v>
      </c>
      <c r="E27" s="975">
        <f>E16</f>
        <v>0</v>
      </c>
      <c r="F27" s="204"/>
      <c r="H27" s="185"/>
    </row>
    <row r="28" spans="1:9" ht="7.5" customHeight="1">
      <c r="C28" s="148"/>
      <c r="D28" s="182"/>
      <c r="E28" s="196"/>
      <c r="H28" s="185"/>
    </row>
    <row r="29" spans="1:9">
      <c r="B29" s="214" t="s">
        <v>634</v>
      </c>
      <c r="E29" s="196"/>
      <c r="F29" s="215"/>
      <c r="H29" s="185"/>
    </row>
    <row r="30" spans="1:9">
      <c r="B30" s="187" t="s">
        <v>635</v>
      </c>
      <c r="E30" s="2"/>
      <c r="G30" s="216"/>
      <c r="H30" s="216"/>
    </row>
    <row r="31" spans="1:9">
      <c r="B31" s="157"/>
      <c r="C31" s="217" t="s">
        <v>636</v>
      </c>
      <c r="D31" s="218"/>
      <c r="E31" s="219">
        <f>'A11.SFR&amp; Attestation Site 5'!F73</f>
        <v>0</v>
      </c>
      <c r="F31" s="751"/>
      <c r="G31" s="216"/>
      <c r="H31" s="216"/>
    </row>
    <row r="32" spans="1:9" ht="19" customHeight="1">
      <c r="B32" s="157"/>
      <c r="C32" s="220" t="s">
        <v>637</v>
      </c>
      <c r="D32" s="221"/>
      <c r="E32" s="222">
        <f>ProgramCostsAllocation</f>
        <v>0</v>
      </c>
      <c r="F32" s="204"/>
      <c r="G32" s="216"/>
      <c r="H32" s="216"/>
    </row>
    <row r="33" spans="1:8">
      <c r="B33" s="203"/>
      <c r="C33" s="223" t="s">
        <v>638</v>
      </c>
      <c r="D33" s="163" t="s">
        <v>639</v>
      </c>
      <c r="E33" s="224">
        <f>MIN(E31,E32)</f>
        <v>0</v>
      </c>
      <c r="F33" s="204"/>
      <c r="G33" s="216"/>
      <c r="H33" s="216"/>
    </row>
    <row r="34" spans="1:8" ht="7.5" customHeight="1">
      <c r="C34" s="148"/>
      <c r="D34" s="182"/>
      <c r="E34" s="196"/>
      <c r="H34" s="185"/>
    </row>
    <row r="35" spans="1:8">
      <c r="B35" s="214" t="s">
        <v>640</v>
      </c>
      <c r="C35" s="148"/>
      <c r="D35" s="182"/>
      <c r="E35" s="196"/>
      <c r="G35" s="216"/>
      <c r="H35" s="216"/>
    </row>
    <row r="36" spans="1:8">
      <c r="B36" s="187" t="s">
        <v>641</v>
      </c>
      <c r="E36" s="196"/>
      <c r="G36" s="216"/>
      <c r="H36" s="216"/>
    </row>
    <row r="37" spans="1:8" s="134" customFormat="1">
      <c r="C37" s="220" t="s">
        <v>642</v>
      </c>
      <c r="D37" s="221"/>
      <c r="E37" s="225">
        <f>4.25%*ActualProgramCosts</f>
        <v>0</v>
      </c>
      <c r="F37" s="212"/>
      <c r="G37" s="226"/>
      <c r="H37" s="226"/>
    </row>
    <row r="38" spans="1:8" s="134" customFormat="1" ht="30">
      <c r="C38" s="220" t="s">
        <v>643</v>
      </c>
      <c r="D38" s="221"/>
      <c r="E38" s="225">
        <f>3.5%*MIN(ActualProgramCosts,BenchmarkAllocation)</f>
        <v>0</v>
      </c>
      <c r="F38" s="204"/>
      <c r="G38" s="226"/>
      <c r="H38" s="226"/>
    </row>
    <row r="39" spans="1:8" s="134" customFormat="1" ht="30">
      <c r="C39" s="220" t="s">
        <v>644</v>
      </c>
      <c r="D39" s="221"/>
      <c r="E39" s="227">
        <f>'A6e. Operations-Site 5'!D192</f>
        <v>0</v>
      </c>
      <c r="F39" s="228"/>
      <c r="G39" s="229"/>
      <c r="H39" s="229"/>
    </row>
    <row r="40" spans="1:8">
      <c r="B40" s="230"/>
      <c r="C40" s="231" t="s">
        <v>645</v>
      </c>
      <c r="D40" s="163" t="s">
        <v>646</v>
      </c>
      <c r="E40" s="232">
        <f>ROUND(SUM(E37:E39),0)</f>
        <v>0</v>
      </c>
      <c r="F40" s="204"/>
      <c r="G40" s="233"/>
      <c r="H40" s="233"/>
    </row>
    <row r="41" spans="1:8" ht="7.5" customHeight="1">
      <c r="C41" s="148"/>
      <c r="D41" s="182"/>
      <c r="E41" s="196"/>
      <c r="H41" s="185"/>
    </row>
    <row r="42" spans="1:8">
      <c r="B42" s="214" t="s">
        <v>647</v>
      </c>
      <c r="C42" s="148"/>
      <c r="D42" s="182"/>
      <c r="E42" s="196"/>
      <c r="H42" s="185"/>
    </row>
    <row r="43" spans="1:8">
      <c r="B43" s="187" t="s">
        <v>648</v>
      </c>
      <c r="E43" s="2"/>
      <c r="H43" s="185"/>
    </row>
    <row r="44" spans="1:8">
      <c r="B44" s="234"/>
      <c r="C44" s="1" t="s">
        <v>649</v>
      </c>
      <c r="E44" s="235">
        <f>'A11.SFR&amp; Attestation Site 5'!F32</f>
        <v>0</v>
      </c>
      <c r="F44" s="204"/>
      <c r="H44" s="185"/>
    </row>
    <row r="45" spans="1:8">
      <c r="B45" s="234"/>
      <c r="C45" s="1" t="s">
        <v>650</v>
      </c>
      <c r="E45" s="235">
        <f>'A11.SFR&amp; Attestation Site 5'!F33</f>
        <v>0</v>
      </c>
      <c r="F45" s="204"/>
      <c r="H45" s="185"/>
    </row>
    <row r="46" spans="1:8">
      <c r="B46" s="234"/>
      <c r="C46" s="1" t="s">
        <v>651</v>
      </c>
      <c r="E46" s="235">
        <f>-E25</f>
        <v>0</v>
      </c>
      <c r="F46" s="236"/>
      <c r="H46" s="185"/>
    </row>
    <row r="47" spans="1:8">
      <c r="A47" s="148"/>
      <c r="B47" s="203"/>
      <c r="C47" s="231" t="s">
        <v>652</v>
      </c>
      <c r="D47" s="163" t="s">
        <v>653</v>
      </c>
      <c r="E47" s="232">
        <f>MAX(E46,E44+E45)</f>
        <v>0</v>
      </c>
      <c r="F47" s="204"/>
      <c r="H47" s="185"/>
    </row>
    <row r="48" spans="1:8" ht="7.5" customHeight="1">
      <c r="C48" s="148"/>
      <c r="D48" s="182"/>
      <c r="E48" s="196"/>
      <c r="H48" s="185"/>
    </row>
    <row r="49" spans="1:8">
      <c r="A49" s="148"/>
      <c r="B49" s="214" t="s">
        <v>654</v>
      </c>
      <c r="C49" s="148"/>
      <c r="D49" s="182"/>
      <c r="E49" s="237"/>
      <c r="H49" s="185"/>
    </row>
    <row r="50" spans="1:8">
      <c r="A50" s="148"/>
      <c r="B50" s="187" t="s">
        <v>655</v>
      </c>
      <c r="C50" s="148"/>
      <c r="D50" s="182"/>
      <c r="E50" s="237"/>
      <c r="H50" s="185"/>
    </row>
    <row r="51" spans="1:8">
      <c r="A51" s="148"/>
      <c r="B51" s="214"/>
      <c r="C51" s="1" t="s">
        <v>533</v>
      </c>
      <c r="E51" s="222">
        <f>+E33</f>
        <v>0</v>
      </c>
      <c r="F51" s="204"/>
      <c r="H51" s="185"/>
    </row>
    <row r="52" spans="1:8">
      <c r="A52" s="148"/>
      <c r="B52" s="214"/>
      <c r="C52" s="1" t="s">
        <v>656</v>
      </c>
      <c r="E52" s="222">
        <f>+E40</f>
        <v>0</v>
      </c>
      <c r="F52" s="204"/>
      <c r="H52" s="185"/>
    </row>
    <row r="53" spans="1:8">
      <c r="A53" s="148"/>
      <c r="B53" s="214"/>
      <c r="C53" s="1" t="s">
        <v>657</v>
      </c>
      <c r="E53" s="235">
        <f>-E47</f>
        <v>0</v>
      </c>
      <c r="F53" s="236"/>
      <c r="H53" s="185"/>
    </row>
    <row r="54" spans="1:8">
      <c r="B54" s="203"/>
      <c r="C54" s="231" t="s">
        <v>658</v>
      </c>
      <c r="D54" s="163" t="s">
        <v>659</v>
      </c>
      <c r="E54" s="232">
        <f>SUM(E51:E53)</f>
        <v>0</v>
      </c>
      <c r="F54" s="204"/>
      <c r="H54" s="185"/>
    </row>
    <row r="55" spans="1:8" ht="7.5" customHeight="1">
      <c r="C55" s="148"/>
      <c r="D55" s="182"/>
      <c r="E55" s="196"/>
      <c r="H55" s="185"/>
    </row>
    <row r="56" spans="1:8">
      <c r="A56" s="148"/>
      <c r="B56" s="238" t="s">
        <v>660</v>
      </c>
      <c r="C56" s="239"/>
      <c r="D56" s="240"/>
      <c r="E56" s="202"/>
      <c r="H56" s="185"/>
    </row>
    <row r="57" spans="1:8">
      <c r="A57" s="148"/>
      <c r="B57" s="187" t="s">
        <v>661</v>
      </c>
      <c r="C57" s="239"/>
      <c r="D57" s="240"/>
      <c r="E57" s="241"/>
      <c r="H57" s="185"/>
    </row>
    <row r="58" spans="1:8">
      <c r="C58" s="242" t="s">
        <v>662</v>
      </c>
      <c r="E58" s="222">
        <f>+E15</f>
        <v>0</v>
      </c>
      <c r="F58" s="204"/>
      <c r="H58" s="185"/>
    </row>
    <row r="59" spans="1:8">
      <c r="B59" s="203"/>
      <c r="C59" s="242" t="s">
        <v>663</v>
      </c>
      <c r="E59" s="222">
        <f>+E54</f>
        <v>0</v>
      </c>
      <c r="F59" s="204"/>
      <c r="H59" s="185"/>
    </row>
    <row r="60" spans="1:8">
      <c r="B60" s="203"/>
      <c r="C60" s="231" t="str" cm="1">
        <f t="array" ref="C60">+_xlfn.IFS(E60=0,"= No amount due", E60&lt;0,"= Payable to the licensee in respect Actual Cost-Based Funding", 1,"= Overpayment. Amount payable to the CMSM/DSSAB in respect of Actual Cost-Based Funding")</f>
        <v>= No amount due</v>
      </c>
      <c r="D60" s="163" t="s">
        <v>664</v>
      </c>
      <c r="E60" s="232">
        <f>ROUND(E58-E59,2)</f>
        <v>0</v>
      </c>
      <c r="F60" s="204"/>
      <c r="G60" s="202"/>
      <c r="H60" s="185"/>
    </row>
    <row r="61" spans="1:8" ht="12.75" customHeight="1">
      <c r="C61" s="148"/>
      <c r="D61" s="182"/>
      <c r="E61" s="196"/>
      <c r="H61" s="185"/>
    </row>
    <row r="62" spans="1:8" ht="15.75" customHeight="1">
      <c r="A62" s="148"/>
      <c r="B62" s="187" t="s">
        <v>665</v>
      </c>
      <c r="C62" s="239"/>
      <c r="D62" s="240"/>
      <c r="E62" s="241"/>
      <c r="F62" s="1212" t="str">
        <f>IF('A3. Peel Region Grants'!I76&gt;0,"Deferred revenue and amount spent being added as spent until recon completed."," ")</f>
        <v xml:space="preserve"> </v>
      </c>
      <c r="H62" s="185"/>
    </row>
    <row r="63" spans="1:8" ht="15.75" customHeight="1">
      <c r="B63" s="243"/>
      <c r="C63" s="185" t="s">
        <v>666</v>
      </c>
      <c r="D63" s="244"/>
      <c r="E63" s="222">
        <f>'A11.SFR&amp; Attestation Site 5'!F75</f>
        <v>0</v>
      </c>
      <c r="F63" s="1212"/>
      <c r="H63" s="156"/>
    </row>
    <row r="64" spans="1:8">
      <c r="A64" s="148"/>
      <c r="B64" s="245"/>
      <c r="C64" s="185" t="s">
        <v>667</v>
      </c>
      <c r="D64" s="244"/>
      <c r="E64" s="222">
        <f>+E27</f>
        <v>0</v>
      </c>
      <c r="F64" s="1212"/>
      <c r="H64" s="246"/>
    </row>
    <row r="65" spans="1:8">
      <c r="B65" s="160"/>
      <c r="C65" s="247" t="s">
        <v>668</v>
      </c>
      <c r="D65" s="163" t="s">
        <v>669</v>
      </c>
      <c r="E65" s="248">
        <f>MIN(E64,E63)</f>
        <v>0</v>
      </c>
      <c r="F65" s="1212"/>
      <c r="H65" s="156"/>
    </row>
    <row r="66" spans="1:8">
      <c r="B66" s="249"/>
      <c r="C66" s="194" t="s">
        <v>670</v>
      </c>
      <c r="D66" s="244"/>
      <c r="E66" s="222">
        <f>+E16</f>
        <v>0</v>
      </c>
      <c r="F66" s="1212"/>
      <c r="H66" s="246"/>
    </row>
    <row r="67" spans="1:8">
      <c r="B67" s="251"/>
      <c r="C67" s="252" t="str" cm="1">
        <f t="array" ref="C67">+_xlfn.IFS(E67=0,"= No amount due",E67&lt;0,"= Payable to the licensee in respect Actual Cost-Based Funding",1, "= Overpayment. Amount payable to the CMSM/DSSAB in respect of one-time, unexpected cost")</f>
        <v>= No amount due</v>
      </c>
      <c r="D67" s="163" t="s">
        <v>671</v>
      </c>
      <c r="E67" s="232">
        <f>+E66-E65</f>
        <v>0</v>
      </c>
      <c r="F67" s="250"/>
      <c r="G67" s="202"/>
      <c r="H67" s="210"/>
    </row>
    <row r="68" spans="1:8">
      <c r="B68" s="251"/>
      <c r="D68" s="527"/>
      <c r="E68" s="1"/>
      <c r="F68" s="250"/>
      <c r="G68" s="202"/>
      <c r="H68" s="210"/>
    </row>
    <row r="69" spans="1:8" ht="16.5" customHeight="1">
      <c r="C69" s="148"/>
      <c r="D69" s="182"/>
      <c r="E69" s="196"/>
      <c r="H69" s="185"/>
    </row>
    <row r="70" spans="1:8">
      <c r="A70" s="148"/>
      <c r="B70" s="187" t="s">
        <v>672</v>
      </c>
      <c r="C70" s="239"/>
      <c r="D70" s="240"/>
      <c r="E70" s="241"/>
      <c r="H70" s="185"/>
    </row>
    <row r="71" spans="1:8" ht="20">
      <c r="C71" s="253" t="str" cm="1">
        <f t="array" ref="C71">+_xlfn.IFS(E60=0,"= No amount due",E60&lt;0,"= Payable to the licensee",1,"= Overpayment payable to the CMSM/DSSAB")</f>
        <v>= No amount due</v>
      </c>
      <c r="D71" s="254"/>
      <c r="E71" s="255">
        <f>ROUND(IF(SUM(E15:E16,E20:E22,E24:E25,E27)=0,0,E60+E67),2)</f>
        <v>0</v>
      </c>
      <c r="F71" s="256"/>
    </row>
    <row r="72" spans="1:8" ht="18" customHeight="1">
      <c r="C72" s="148"/>
      <c r="D72" s="182"/>
      <c r="E72" s="196"/>
      <c r="H72" s="185"/>
    </row>
    <row r="73" spans="1:8">
      <c r="A73" s="148"/>
      <c r="B73" s="238" t="s">
        <v>673</v>
      </c>
      <c r="C73" s="257"/>
      <c r="D73" s="258"/>
      <c r="E73" s="259"/>
      <c r="G73" s="217"/>
      <c r="H73" s="185"/>
    </row>
    <row r="74" spans="1:8">
      <c r="A74" s="148"/>
      <c r="B74" s="187" t="s">
        <v>674</v>
      </c>
      <c r="C74" s="257"/>
      <c r="D74" s="258"/>
      <c r="E74" s="259"/>
      <c r="G74" s="217"/>
      <c r="H74" s="185"/>
    </row>
    <row r="75" spans="1:8">
      <c r="A75" s="148"/>
      <c r="B75" s="238"/>
      <c r="C75" s="242" t="s">
        <v>675</v>
      </c>
      <c r="D75" s="258"/>
      <c r="E75" s="260">
        <f>+ActualProgramCosts</f>
        <v>0</v>
      </c>
      <c r="G75" s="217"/>
      <c r="H75" s="185"/>
    </row>
    <row r="76" spans="1:8">
      <c r="A76" s="148"/>
      <c r="B76" s="238"/>
      <c r="C76" s="242" t="str">
        <f>+C20</f>
        <v>Benchmark Allocation</v>
      </c>
      <c r="D76" s="258"/>
      <c r="E76" s="260">
        <f>+BenchmarkAllocation</f>
        <v>0</v>
      </c>
      <c r="G76" s="217"/>
      <c r="H76" s="185"/>
    </row>
    <row r="77" spans="1:8">
      <c r="A77" s="127" t="s">
        <v>834</v>
      </c>
      <c r="B77" s="261"/>
      <c r="C77" s="262" t="s">
        <v>736</v>
      </c>
      <c r="D77" s="163" t="s">
        <v>676</v>
      </c>
      <c r="E77" s="263" t="e" cm="1">
        <f t="array" ref="E77">_xlfn.IFS(BenchmarkAllocation="","",ActualProgramCosts-BenchmarkAllocation&lt;0,0,1,ROUND((ActualProgramCosts-BenchmarkAllocation)/BenchmarkAllocation,4))</f>
        <v>#DIV/0!</v>
      </c>
      <c r="F77" s="264"/>
      <c r="G77" s="265"/>
      <c r="H77" s="266"/>
    </row>
    <row r="78" spans="1:8" ht="7.5" customHeight="1">
      <c r="C78" s="148"/>
      <c r="D78" s="182"/>
      <c r="E78" s="196"/>
      <c r="H78" s="185"/>
    </row>
    <row r="79" spans="1:8">
      <c r="B79" s="187" t="s">
        <v>677</v>
      </c>
      <c r="D79" s="267" t="s">
        <v>678</v>
      </c>
      <c r="E79" s="268"/>
      <c r="F79" s="528"/>
    </row>
    <row r="80" spans="1:8"/>
    <row r="81"/>
    <row r="82"/>
    <row r="83"/>
    <row r="94"/>
    <row r="95"/>
    <row r="96"/>
    <row r="97"/>
    <row r="98"/>
    <row r="99"/>
    <row r="106"/>
    <row r="107"/>
    <row r="108"/>
    <row r="109"/>
    <row r="110"/>
    <row r="111"/>
    <row r="112"/>
    <row r="113"/>
    <row r="114"/>
  </sheetData>
  <sheetProtection algorithmName="SHA-512" hashValue="y6bp8/RDQrvXG1iCbMiuXp6GRsZjYyBOsfgzbPTQpbCO3+jk4GTXS6dgcjXbHKtgou7s39WTPA0ZHVRqLWILKw==" saltValue="zQgHkrY7JktmJ7x5rlET9Q==" spinCount="100000" sheet="1" objects="1" scenarios="1"/>
  <mergeCells count="2">
    <mergeCell ref="A1:I1"/>
    <mergeCell ref="F62:F66"/>
  </mergeCells>
  <conditionalFormatting sqref="E8:E11 G8:H11">
    <cfRule type="cellIs" dxfId="26" priority="2" operator="notEqual">
      <formula>""</formula>
    </cfRule>
  </conditionalFormatting>
  <conditionalFormatting sqref="E15:E16 E20:E22 E24:E25 E27">
    <cfRule type="notContainsBlanks" dxfId="25" priority="3">
      <formula>LEN(TRIM(E15))&gt;0</formula>
    </cfRule>
  </conditionalFormatting>
  <conditionalFormatting sqref="E79">
    <cfRule type="cellIs" dxfId="24" priority="1" operator="notEqual">
      <formula>""</formula>
    </cfRule>
  </conditionalFormatting>
  <dataValidations count="4">
    <dataValidation type="date" operator="greaterThanOrEqual" allowBlank="1" showInputMessage="1" showErrorMessage="1" error="Must be a date not earlier than today's date" sqref="E79" xr:uid="{86F86156-A4BF-46C3-8D83-5C42806F0805}">
      <formula1>TODAY()</formula1>
    </dataValidation>
    <dataValidation type="decimal" operator="lessThan" allowBlank="1" showInputMessage="1" error="Must be an amount less than 0." sqref="E25" xr:uid="{BE7AEB62-A665-44B2-B180-E73BFFBE0029}">
      <formula1>0</formula1>
    </dataValidation>
    <dataValidation type="decimal" operator="greaterThan" allowBlank="1" showInputMessage="1" error="Must be an amount greater than 0." sqref="E24 E15 E20:E22" xr:uid="{03C5EA89-1567-4C91-A3F2-282DA04EAF6E}">
      <formula1>0</formula1>
    </dataValidation>
    <dataValidation type="decimal" operator="greaterThanOrEqual" allowBlank="1" showInputMessage="1" showErrorMessage="1" error="Must be an amount greater than or equal to 0." sqref="E16 E27" xr:uid="{6508F6DA-FD90-4C74-87AC-A208B1E4C81D}">
      <formula1>0</formula1>
    </dataValidation>
  </dataValidation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77C6E-3361-43C8-96A6-800F4B1F0D03}">
  <sheetPr>
    <tabColor theme="4" tint="0.59999389629810485"/>
  </sheetPr>
  <dimension ref="B1:M195"/>
  <sheetViews>
    <sheetView showGridLines="0" zoomScale="85" zoomScaleNormal="85" workbookViewId="0">
      <selection activeCell="B1" sqref="B1:G1"/>
    </sheetView>
  </sheetViews>
  <sheetFormatPr defaultColWidth="9.1796875" defaultRowHeight="15.5"/>
  <cols>
    <col min="1" max="1" width="3.453125" style="9" customWidth="1"/>
    <col min="2" max="2" width="86.7265625" style="9" customWidth="1"/>
    <col min="3" max="3" width="9.7265625" style="9" customWidth="1"/>
    <col min="4" max="4" width="20.7265625" style="9" customWidth="1"/>
    <col min="5" max="5" width="23" style="9" customWidth="1"/>
    <col min="6" max="6" width="23.7265625" style="9" customWidth="1"/>
    <col min="7" max="7" width="6.7265625" style="9" customWidth="1"/>
    <col min="8" max="8" width="74.453125" style="9" customWidth="1"/>
    <col min="9" max="9" width="9.453125" style="9" customWidth="1"/>
    <col min="10" max="10" width="9.1796875" style="9"/>
    <col min="11" max="11" width="17.54296875" style="9" customWidth="1"/>
    <col min="12" max="16384" width="9.1796875" style="9"/>
  </cols>
  <sheetData>
    <row r="1" spans="2:12" ht="26.5" thickBot="1">
      <c r="B1" s="1213" t="s">
        <v>734</v>
      </c>
      <c r="C1" s="1214"/>
      <c r="D1" s="1214"/>
      <c r="E1" s="1214"/>
      <c r="F1" s="1214"/>
      <c r="G1" s="1214"/>
    </row>
    <row r="2" spans="2:12" ht="21" customHeight="1">
      <c r="B2" s="1180" t="str">
        <f>IF('A1. Identification'!D7=0, "2025 FAIR, CWELCC and OTEF Reconciliation for Multi Site Operators",'A1. Identification'!D7)</f>
        <v>2025 FAIR, CWELCC and OTEF Reconciliation for Multi Site Operators</v>
      </c>
      <c r="C2" s="1181"/>
      <c r="D2" s="1181"/>
      <c r="E2" s="1181"/>
      <c r="F2" s="1181"/>
      <c r="G2" s="443"/>
      <c r="K2" s="109" t="s">
        <v>109</v>
      </c>
      <c r="L2" s="110" t="str">
        <f>IF('A1. Identification'!$D$13=0, " ",'A1. Identification'!$D$13)</f>
        <v xml:space="preserve"> </v>
      </c>
    </row>
    <row r="3" spans="2:12" ht="19" customHeight="1">
      <c r="B3" s="1182" t="str">
        <f>IF('A1. Identification'!B6=0, " ", "Statement of Operations / Income Statement of "&amp; 'A1. Identification'!D6)</f>
        <v xml:space="preserve">Statement of Operations / Income Statement of </v>
      </c>
      <c r="C3" s="1091"/>
      <c r="D3" s="1091"/>
      <c r="E3" s="1091"/>
      <c r="F3" s="1091"/>
      <c r="G3" s="444"/>
      <c r="K3" s="890"/>
      <c r="L3" s="891"/>
    </row>
    <row r="4" spans="2:12" ht="24" thickBot="1">
      <c r="B4" s="1183" t="s">
        <v>954</v>
      </c>
      <c r="C4" s="1184"/>
      <c r="D4" s="1184"/>
      <c r="E4" s="1184"/>
      <c r="F4" s="1184"/>
      <c r="G4" s="1185"/>
      <c r="H4" s="14"/>
    </row>
    <row r="5" spans="2:12" s="445" customFormat="1" ht="23.5" hidden="1"/>
    <row r="6" spans="2:12" s="445" customFormat="1" ht="23.5" hidden="1">
      <c r="B6" s="446"/>
    </row>
    <row r="7" spans="2:12" ht="16" hidden="1" thickBot="1">
      <c r="B7" s="447" t="s">
        <v>852</v>
      </c>
    </row>
    <row r="8" spans="2:12" hidden="1">
      <c r="B8" s="448" t="s">
        <v>724</v>
      </c>
      <c r="C8" s="449"/>
      <c r="D8" s="449"/>
      <c r="E8" s="449"/>
      <c r="F8" s="913"/>
      <c r="G8" s="116" t="s">
        <v>772</v>
      </c>
      <c r="H8"/>
    </row>
    <row r="9" spans="2:12" hidden="1">
      <c r="B9" s="78" t="s">
        <v>725</v>
      </c>
      <c r="F9" s="914"/>
      <c r="G9" s="106" t="s">
        <v>773</v>
      </c>
      <c r="H9"/>
    </row>
    <row r="10" spans="2:12" hidden="1">
      <c r="B10" s="78" t="s">
        <v>727</v>
      </c>
      <c r="F10" s="915"/>
      <c r="G10" s="106" t="s">
        <v>774</v>
      </c>
      <c r="H10" s="1186" t="s">
        <v>898</v>
      </c>
      <c r="I10" s="1187"/>
    </row>
    <row r="11" spans="2:12" hidden="1">
      <c r="B11" s="78" t="s">
        <v>304</v>
      </c>
      <c r="F11" s="912"/>
      <c r="G11" s="106" t="s">
        <v>775</v>
      </c>
      <c r="H11" s="1186"/>
      <c r="I11" s="1187"/>
    </row>
    <row r="12" spans="2:12" hidden="1">
      <c r="B12" s="78" t="s">
        <v>959</v>
      </c>
      <c r="C12" s="133"/>
      <c r="F12" s="912"/>
      <c r="G12" s="106" t="s">
        <v>776</v>
      </c>
      <c r="H12" s="1186"/>
      <c r="I12" s="1187"/>
    </row>
    <row r="13" spans="2:12" ht="16" hidden="1" thickBot="1">
      <c r="B13" s="78" t="s">
        <v>392</v>
      </c>
      <c r="C13" s="14"/>
      <c r="D13" s="14"/>
      <c r="F13" s="914"/>
      <c r="G13" s="106" t="s">
        <v>777</v>
      </c>
      <c r="H13" s="1188"/>
      <c r="I13" s="1189"/>
    </row>
    <row r="14" spans="2:12" hidden="1">
      <c r="B14" s="78" t="s">
        <v>835</v>
      </c>
      <c r="C14" s="14"/>
      <c r="D14" s="14"/>
      <c r="F14" s="914"/>
      <c r="G14" s="106" t="s">
        <v>778</v>
      </c>
      <c r="H14" s="916"/>
      <c r="I14" s="116" t="s">
        <v>860</v>
      </c>
    </row>
    <row r="15" spans="2:12" hidden="1">
      <c r="B15" s="78" t="s">
        <v>897</v>
      </c>
      <c r="C15" s="14"/>
      <c r="D15" s="14"/>
      <c r="F15" s="914"/>
      <c r="G15" s="106" t="s">
        <v>779</v>
      </c>
      <c r="H15" s="917"/>
      <c r="I15" s="106" t="s">
        <v>895</v>
      </c>
    </row>
    <row r="16" spans="2:12" ht="16" hidden="1" thickBot="1">
      <c r="B16" s="450" t="s">
        <v>306</v>
      </c>
      <c r="C16" s="17"/>
      <c r="D16" s="451"/>
      <c r="E16" s="1215"/>
      <c r="F16" s="1216"/>
      <c r="G16" s="107" t="s">
        <v>859</v>
      </c>
      <c r="H16" s="918"/>
      <c r="I16" s="107" t="s">
        <v>896</v>
      </c>
    </row>
    <row r="17" spans="2:8" s="14" customFormat="1" ht="16" thickBot="1">
      <c r="G17" s="9"/>
    </row>
    <row r="18" spans="2:8" ht="31.5" thickBot="1">
      <c r="B18" s="452" t="s">
        <v>175</v>
      </c>
      <c r="C18" s="65"/>
      <c r="D18" s="453" t="s">
        <v>172</v>
      </c>
      <c r="E18" s="454" t="s">
        <v>312</v>
      </c>
      <c r="F18" s="455" t="s">
        <v>313</v>
      </c>
      <c r="H18" s="86"/>
    </row>
    <row r="19" spans="2:8" ht="15.75" customHeight="1">
      <c r="B19" s="456" t="s">
        <v>422</v>
      </c>
      <c r="C19" s="457">
        <v>301</v>
      </c>
      <c r="D19" s="458">
        <f>'A7. 2025 CWELCC &amp; OTEF Recon'!E74-'A7. 2025 CWELCC &amp; OTEF Recon'!E64</f>
        <v>0</v>
      </c>
      <c r="E19" s="459">
        <f>D19</f>
        <v>0</v>
      </c>
      <c r="F19" s="460"/>
      <c r="H19" s="1192" t="s">
        <v>737</v>
      </c>
    </row>
    <row r="20" spans="2:8" ht="16" thickBot="1">
      <c r="B20" s="20" t="s">
        <v>819</v>
      </c>
      <c r="C20" s="461">
        <v>302</v>
      </c>
      <c r="D20" s="462">
        <f>'A7. 2025 CWELCC &amp; OTEF Recon'!E64</f>
        <v>0</v>
      </c>
      <c r="E20" s="463">
        <f>+D20</f>
        <v>0</v>
      </c>
      <c r="F20" s="464"/>
      <c r="H20" s="1193"/>
    </row>
    <row r="21" spans="2:8">
      <c r="B21" s="20" t="s">
        <v>836</v>
      </c>
      <c r="C21" s="461">
        <v>303</v>
      </c>
      <c r="D21" s="462">
        <f>'A6a. Operations-Site 1'!D20+'A6b. Operations-Site 2'!D20+'A6c. Operations-Site 3'!D20+'A6d. Operations-Site 4'!D20+'A6e. Operations-Site 5'!D20</f>
        <v>0</v>
      </c>
      <c r="E21" s="462">
        <f>'A6a. Operations-Site 1'!E20+'A6b. Operations-Site 2'!E20+'A6c. Operations-Site 3'!E20+'A6d. Operations-Site 4'!E20+'A6e. Operations-Site 5'!E20</f>
        <v>0</v>
      </c>
      <c r="F21" s="465">
        <f>+D21-E21</f>
        <v>0</v>
      </c>
      <c r="H21" s="117" t="str">
        <f>IF(AND(ISNUMBER(D21), ISBLANK(E21)), "Error: Missing 0-6 amount", "")</f>
        <v/>
      </c>
    </row>
    <row r="22" spans="2:8">
      <c r="B22" s="20" t="s">
        <v>820</v>
      </c>
      <c r="C22" s="461">
        <v>304</v>
      </c>
      <c r="D22" s="462">
        <f>'A6a. Operations-Site 1'!D21+'A6b. Operations-Site 2'!D21+'A6c. Operations-Site 3'!D21+'A6d. Operations-Site 4'!D21+'A6e. Operations-Site 5'!D21</f>
        <v>0</v>
      </c>
      <c r="E22" s="462">
        <f>'A6a. Operations-Site 1'!E21+'A6b. Operations-Site 2'!E21+'A6c. Operations-Site 3'!E21+'A6d. Operations-Site 4'!E21+'A6e. Operations-Site 5'!E21</f>
        <v>0</v>
      </c>
      <c r="F22" s="465">
        <f>+D22-E22</f>
        <v>0</v>
      </c>
      <c r="H22" s="117" t="str">
        <f>IF(AND(ISNUMBER(D22), ISBLANK(E22)), "Error: Missing 0-6 amount", "")</f>
        <v/>
      </c>
    </row>
    <row r="23" spans="2:8">
      <c r="B23" s="20" t="s">
        <v>423</v>
      </c>
      <c r="C23" s="461">
        <v>305</v>
      </c>
      <c r="D23" s="465">
        <f>'A3. Peel Region Grants'!D153</f>
        <v>0</v>
      </c>
      <c r="E23" s="466"/>
      <c r="F23" s="462">
        <f>D23</f>
        <v>0</v>
      </c>
    </row>
    <row r="24" spans="2:8" s="467" customFormat="1">
      <c r="B24" s="20" t="s">
        <v>385</v>
      </c>
      <c r="C24" s="461">
        <v>306</v>
      </c>
      <c r="D24" s="462">
        <f>'A6a. Operations-Site 1'!D23+'A6b. Operations-Site 2'!D23+'A6c. Operations-Site 3'!D23+'A6d. Operations-Site 4'!D23+'A6e. Operations-Site 5'!D23</f>
        <v>0</v>
      </c>
      <c r="E24" s="463">
        <f>D24</f>
        <v>0</v>
      </c>
      <c r="F24" s="464"/>
    </row>
    <row r="25" spans="2:8">
      <c r="B25" s="20" t="s">
        <v>383</v>
      </c>
      <c r="C25" s="461">
        <v>307</v>
      </c>
      <c r="D25" s="462">
        <f>'A3. Peel Region Grants'!E40</f>
        <v>0</v>
      </c>
      <c r="E25" s="468">
        <f>'A3. Peel Region Grants'!G40</f>
        <v>0</v>
      </c>
      <c r="F25" s="465">
        <f>D25-E25</f>
        <v>0</v>
      </c>
      <c r="H25" s="555" t="s">
        <v>881</v>
      </c>
    </row>
    <row r="26" spans="2:8">
      <c r="B26" s="20" t="s">
        <v>808</v>
      </c>
      <c r="C26" s="461">
        <v>308</v>
      </c>
      <c r="D26" s="462">
        <f>IFERROR('A7. 2025 CWELCC &amp; OTEF Recon'!C118,0)</f>
        <v>0</v>
      </c>
      <c r="E26" s="463">
        <f>D26</f>
        <v>0</v>
      </c>
      <c r="F26" s="465">
        <f>D26-E26</f>
        <v>0</v>
      </c>
      <c r="H26" s="555" t="s">
        <v>881</v>
      </c>
    </row>
    <row r="27" spans="2:8" ht="15.75" hidden="1" customHeight="1">
      <c r="B27" s="20" t="s">
        <v>239</v>
      </c>
      <c r="C27" s="461">
        <v>309</v>
      </c>
      <c r="D27" s="462">
        <v>0</v>
      </c>
      <c r="E27" s="463"/>
      <c r="F27" s="465">
        <f>D27-E27</f>
        <v>0</v>
      </c>
      <c r="H27" s="12" t="s">
        <v>283</v>
      </c>
    </row>
    <row r="28" spans="2:8">
      <c r="B28" s="20" t="s">
        <v>809</v>
      </c>
      <c r="C28" s="461">
        <v>309</v>
      </c>
      <c r="D28" s="462">
        <f>'A3. Peel Region Grants'!D133</f>
        <v>0</v>
      </c>
      <c r="E28" s="463">
        <f>'A3. Peel Region Grants'!F133</f>
        <v>0</v>
      </c>
      <c r="F28" s="465">
        <f>D28-E28</f>
        <v>0</v>
      </c>
      <c r="H28" s="555" t="s">
        <v>881</v>
      </c>
    </row>
    <row r="29" spans="2:8">
      <c r="B29" s="20" t="s">
        <v>855</v>
      </c>
      <c r="C29" s="461">
        <v>310</v>
      </c>
      <c r="D29" s="462">
        <f>'A6a. Operations-Site 1'!D28+'A6b. Operations-Site 2'!D28+'A6c. Operations-Site 3'!D28+'A6d. Operations-Site 4'!D28+'A6e. Operations-Site 5'!D28</f>
        <v>0</v>
      </c>
      <c r="E29" s="462">
        <f>'A6a. Operations-Site 1'!E28+'A6b. Operations-Site 2'!E28+'A6c. Operations-Site 3'!E28+'A6d. Operations-Site 4'!E28+'A6e. Operations-Site 5'!E28</f>
        <v>0</v>
      </c>
      <c r="F29" s="465">
        <f>+D29-E29</f>
        <v>0</v>
      </c>
      <c r="H29" s="117" t="str">
        <f>IF(AND(ISNUMBER(D29), ISBLANK(E29)), "Error: Missing 0-6 amount", "")</f>
        <v/>
      </c>
    </row>
    <row r="30" spans="2:8">
      <c r="B30" s="20" t="s">
        <v>856</v>
      </c>
      <c r="C30" s="461">
        <v>311</v>
      </c>
      <c r="D30" s="462">
        <f>'A6a. Operations-Site 1'!D29+'A6b. Operations-Site 2'!D29+'A6c. Operations-Site 3'!D29+'A6d. Operations-Site 4'!D29+'A6e. Operations-Site 5'!D29</f>
        <v>0</v>
      </c>
      <c r="E30" s="462">
        <f>'A6a. Operations-Site 1'!E29+'A6b. Operations-Site 2'!E29+'A6c. Operations-Site 3'!E29+'A6d. Operations-Site 4'!E29+'A6e. Operations-Site 5'!E29</f>
        <v>0</v>
      </c>
      <c r="F30" s="465">
        <f>+D30-E30</f>
        <v>0</v>
      </c>
      <c r="H30" s="117" t="str">
        <f>IF(AND(ISNUMBER(D30), ISBLANK(E30)), "Error: Missing 0-6 amount", "")</f>
        <v/>
      </c>
    </row>
    <row r="31" spans="2:8" ht="16.5" customHeight="1" thickBot="1">
      <c r="B31" s="469" t="s">
        <v>176</v>
      </c>
      <c r="C31" s="470">
        <v>312</v>
      </c>
      <c r="D31" s="471">
        <f>SUM(D19:D30)</f>
        <v>0</v>
      </c>
      <c r="E31" s="472">
        <f>SUM(E19:E30)</f>
        <v>0</v>
      </c>
      <c r="F31" s="471">
        <f>SUM(F19:F30)</f>
        <v>0</v>
      </c>
      <c r="H31" s="513"/>
    </row>
    <row r="32" spans="2:8" ht="16.5" customHeight="1" thickBot="1">
      <c r="C32" s="473"/>
      <c r="D32" s="64"/>
      <c r="E32" s="64"/>
      <c r="F32" s="64"/>
    </row>
    <row r="33" spans="2:11" ht="18.5">
      <c r="B33" s="474" t="s">
        <v>419</v>
      </c>
      <c r="C33" s="65"/>
      <c r="D33" s="453" t="s">
        <v>172</v>
      </c>
      <c r="E33" s="453" t="s">
        <v>173</v>
      </c>
      <c r="F33" s="475" t="s">
        <v>174</v>
      </c>
    </row>
    <row r="34" spans="2:11" ht="16" thickBot="1">
      <c r="B34" s="476" t="s">
        <v>394</v>
      </c>
      <c r="C34" s="477"/>
      <c r="D34" s="478"/>
      <c r="E34" s="478" t="s">
        <v>803</v>
      </c>
      <c r="F34" s="479" t="s">
        <v>286</v>
      </c>
    </row>
    <row r="35" spans="2:11" ht="16.5" customHeight="1" thickBot="1">
      <c r="C35" s="17"/>
      <c r="D35" s="480"/>
      <c r="E35" s="481"/>
      <c r="H35" s="1187"/>
    </row>
    <row r="36" spans="2:11" ht="16" thickBot="1">
      <c r="B36" s="482" t="s">
        <v>469</v>
      </c>
      <c r="C36" s="483">
        <v>411</v>
      </c>
      <c r="D36" s="484">
        <f>+D38+D46+D54</f>
        <v>0</v>
      </c>
      <c r="E36" s="484">
        <f>+E38+E46+E54</f>
        <v>0</v>
      </c>
      <c r="F36" s="484">
        <f>+F38+F46+F54</f>
        <v>0</v>
      </c>
      <c r="H36" s="1187"/>
    </row>
    <row r="37" spans="2:11" ht="16.5" customHeight="1" thickBot="1">
      <c r="C37" s="473"/>
      <c r="D37" s="64"/>
      <c r="E37" s="64"/>
      <c r="F37" s="64"/>
    </row>
    <row r="38" spans="2:11" ht="16" thickBot="1">
      <c r="B38" s="114" t="s">
        <v>720</v>
      </c>
      <c r="C38" s="116" t="s">
        <v>40</v>
      </c>
      <c r="D38" s="484">
        <f>SUM(D39:D45)</f>
        <v>0</v>
      </c>
      <c r="E38" s="484">
        <f>SUM(E39:E45)</f>
        <v>0</v>
      </c>
      <c r="F38" s="484">
        <f>SUM(F39:F45)</f>
        <v>0</v>
      </c>
      <c r="H38" s="491"/>
      <c r="I38" s="9" t="str">
        <f t="shared" ref="I38:I53" si="0">IF(AND(ISNUMBER(D38), ISBLANK(E38)), "Error: Missing 0-6 amount", "")</f>
        <v/>
      </c>
    </row>
    <row r="39" spans="2:11" ht="14.5" customHeight="1">
      <c r="B39" s="278" t="s">
        <v>538</v>
      </c>
      <c r="C39" s="106" t="s">
        <v>41</v>
      </c>
      <c r="D39" s="919">
        <f>'A6a. Operations-Site 1'!D38+'A6b. Operations-Site 2'!D38+'A6c. Operations-Site 3'!D38+'A6d. Operations-Site 4'!D38+'A6e. Operations-Site 5'!D38</f>
        <v>0</v>
      </c>
      <c r="E39" s="919">
        <f>'A6a. Operations-Site 1'!E38+'A6b. Operations-Site 2'!E38+'A6c. Operations-Site 3'!E38+'A6d. Operations-Site 4'!E38+'A6e. Operations-Site 5'!E38</f>
        <v>0</v>
      </c>
      <c r="F39" s="545">
        <f t="shared" ref="F39:F45" si="1">+D39-E39</f>
        <v>0</v>
      </c>
      <c r="H39" s="920"/>
      <c r="I39" s="117" t="str">
        <f t="shared" si="0"/>
        <v/>
      </c>
      <c r="K39" s="10"/>
    </row>
    <row r="40" spans="2:11" ht="14.5" customHeight="1">
      <c r="B40" s="864" t="s">
        <v>882</v>
      </c>
      <c r="C40" s="112" t="s">
        <v>883</v>
      </c>
      <c r="D40" s="919">
        <f>'A6a. Operations-Site 1'!D39+'A6b. Operations-Site 2'!D39+'A6c. Operations-Site 3'!D39+'A6d. Operations-Site 4'!D39+'A6e. Operations-Site 5'!D39</f>
        <v>0</v>
      </c>
      <c r="E40" s="919">
        <f>'A6a. Operations-Site 1'!E39+'A6b. Operations-Site 2'!E39+'A6c. Operations-Site 3'!E39+'A6d. Operations-Site 4'!E39+'A6e. Operations-Site 5'!E39</f>
        <v>0</v>
      </c>
      <c r="F40" s="545">
        <f t="shared" si="1"/>
        <v>0</v>
      </c>
      <c r="H40" s="920"/>
      <c r="I40" s="117"/>
      <c r="K40" s="10"/>
    </row>
    <row r="41" spans="2:11">
      <c r="B41" s="278" t="s">
        <v>886</v>
      </c>
      <c r="C41" s="106" t="s">
        <v>42</v>
      </c>
      <c r="D41" s="919">
        <f>'A6a. Operations-Site 1'!D40+'A6b. Operations-Site 2'!D40+'A6c. Operations-Site 3'!D40+'A6d. Operations-Site 4'!D40+'A6e. Operations-Site 5'!D40</f>
        <v>0</v>
      </c>
      <c r="E41" s="919">
        <f>'A6a. Operations-Site 1'!E40+'A6b. Operations-Site 2'!E40+'A6c. Operations-Site 3'!E40+'A6d. Operations-Site 4'!E40+'A6e. Operations-Site 5'!E40</f>
        <v>0</v>
      </c>
      <c r="F41" s="485">
        <f t="shared" si="1"/>
        <v>0</v>
      </c>
      <c r="H41" s="920"/>
      <c r="I41" s="117" t="str">
        <f t="shared" si="0"/>
        <v/>
      </c>
      <c r="K41" s="10"/>
    </row>
    <row r="42" spans="2:11">
      <c r="B42" s="278" t="s">
        <v>837</v>
      </c>
      <c r="C42" s="106" t="s">
        <v>43</v>
      </c>
      <c r="D42" s="919">
        <f>'A6a. Operations-Site 1'!D41+'A6b. Operations-Site 2'!D41+'A6c. Operations-Site 3'!D41+'A6d. Operations-Site 4'!D41+'A6e. Operations-Site 5'!D41</f>
        <v>0</v>
      </c>
      <c r="E42" s="919">
        <f>'A6a. Operations-Site 1'!E41+'A6b. Operations-Site 2'!E41+'A6c. Operations-Site 3'!E41+'A6d. Operations-Site 4'!E41+'A6e. Operations-Site 5'!E41</f>
        <v>0</v>
      </c>
      <c r="F42" s="485">
        <f t="shared" si="1"/>
        <v>0</v>
      </c>
      <c r="H42" s="920"/>
      <c r="I42" s="117" t="str">
        <f t="shared" si="0"/>
        <v/>
      </c>
      <c r="K42" s="10"/>
    </row>
    <row r="43" spans="2:11">
      <c r="B43" s="278" t="s">
        <v>965</v>
      </c>
      <c r="C43" s="106" t="s">
        <v>787</v>
      </c>
      <c r="D43" s="919">
        <f>'A6a. Operations-Site 1'!D42+'A6b. Operations-Site 2'!D42+'A6c. Operations-Site 3'!D42+'A6d. Operations-Site 4'!D42+'A6e. Operations-Site 5'!D42</f>
        <v>0</v>
      </c>
      <c r="E43" s="919">
        <f>'A6a. Operations-Site 1'!E42+'A6b. Operations-Site 2'!E42+'A6c. Operations-Site 3'!E42+'A6d. Operations-Site 4'!E42+'A6e. Operations-Site 5'!E42</f>
        <v>0</v>
      </c>
      <c r="F43" s="485">
        <f t="shared" si="1"/>
        <v>0</v>
      </c>
      <c r="H43" s="920"/>
      <c r="I43" s="117" t="str">
        <f t="shared" si="0"/>
        <v/>
      </c>
      <c r="K43" s="10"/>
    </row>
    <row r="44" spans="2:11">
      <c r="B44" s="278" t="s">
        <v>544</v>
      </c>
      <c r="C44" s="112" t="s">
        <v>788</v>
      </c>
      <c r="D44" s="919">
        <f>'A6a. Operations-Site 1'!D43+'A6b. Operations-Site 2'!D43+'A6c. Operations-Site 3'!D43+'A6d. Operations-Site 4'!D43+'A6e. Operations-Site 5'!D43</f>
        <v>0</v>
      </c>
      <c r="E44" s="919">
        <f>'A6a. Operations-Site 1'!E43+'A6b. Operations-Site 2'!E43+'A6c. Operations-Site 3'!E43+'A6d. Operations-Site 4'!E43+'A6e. Operations-Site 5'!E43</f>
        <v>0</v>
      </c>
      <c r="F44" s="485">
        <f t="shared" si="1"/>
        <v>0</v>
      </c>
      <c r="H44" s="920"/>
      <c r="I44" s="117" t="str">
        <f t="shared" si="0"/>
        <v/>
      </c>
      <c r="K44" s="10"/>
    </row>
    <row r="45" spans="2:11" ht="16" thickBot="1">
      <c r="B45" s="921" t="s">
        <v>851</v>
      </c>
      <c r="C45" s="107" t="s">
        <v>845</v>
      </c>
      <c r="D45" s="919">
        <f>'A6a. Operations-Site 1'!D44+'A6b. Operations-Site 2'!D44+'A6c. Operations-Site 3'!D44+'A6d. Operations-Site 4'!D44+'A6e. Operations-Site 5'!D44</f>
        <v>0</v>
      </c>
      <c r="E45" s="919">
        <f>'A6a. Operations-Site 1'!E44+'A6b. Operations-Site 2'!E44+'A6c. Operations-Site 3'!E44+'A6d. Operations-Site 4'!E44+'A6e. Operations-Site 5'!E44</f>
        <v>0</v>
      </c>
      <c r="F45" s="487">
        <f t="shared" si="1"/>
        <v>0</v>
      </c>
      <c r="H45" s="920"/>
      <c r="I45" s="117" t="str">
        <f t="shared" si="0"/>
        <v/>
      </c>
      <c r="K45" s="10"/>
    </row>
    <row r="46" spans="2:11" ht="16" thickBot="1">
      <c r="B46" s="114" t="s">
        <v>550</v>
      </c>
      <c r="C46" s="105" t="s">
        <v>789</v>
      </c>
      <c r="D46" s="484">
        <f>SUM(D47:D53)</f>
        <v>0</v>
      </c>
      <c r="E46" s="484">
        <f>SUM(E47:E53)</f>
        <v>0</v>
      </c>
      <c r="F46" s="484">
        <f>SUM(F47:F53)</f>
        <v>0</v>
      </c>
      <c r="H46" s="491"/>
      <c r="I46" s="117" t="str">
        <f t="shared" si="0"/>
        <v/>
      </c>
    </row>
    <row r="47" spans="2:11">
      <c r="B47" s="278" t="s">
        <v>551</v>
      </c>
      <c r="C47" s="112" t="s">
        <v>790</v>
      </c>
      <c r="D47" s="919">
        <f>'A6a. Operations-Site 1'!D46+'A6b. Operations-Site 2'!D46+'A6c. Operations-Site 3'!D46+'A6d. Operations-Site 4'!D46+'A6e. Operations-Site 5'!D46</f>
        <v>0</v>
      </c>
      <c r="E47" s="919">
        <f>'A6a. Operations-Site 1'!E46+'A6b. Operations-Site 2'!E46+'A6c. Operations-Site 3'!E46+'A6d. Operations-Site 4'!E46+'A6e. Operations-Site 5'!E46</f>
        <v>0</v>
      </c>
      <c r="F47" s="545">
        <f t="shared" ref="F47:F53" si="2">+D47-E47</f>
        <v>0</v>
      </c>
      <c r="H47" s="920"/>
      <c r="I47" s="117" t="str">
        <f t="shared" si="0"/>
        <v/>
      </c>
      <c r="K47" s="10"/>
    </row>
    <row r="48" spans="2:11">
      <c r="B48" s="864" t="s">
        <v>885</v>
      </c>
      <c r="C48" s="112" t="s">
        <v>884</v>
      </c>
      <c r="D48" s="919">
        <f>'A6a. Operations-Site 1'!D47+'A6b. Operations-Site 2'!D47+'A6c. Operations-Site 3'!D47+'A6d. Operations-Site 4'!D47+'A6e. Operations-Site 5'!D47</f>
        <v>0</v>
      </c>
      <c r="E48" s="919">
        <f>'A6a. Operations-Site 1'!E47+'A6b. Operations-Site 2'!E47+'A6c. Operations-Site 3'!E47+'A6d. Operations-Site 4'!E47+'A6e. Operations-Site 5'!E47</f>
        <v>0</v>
      </c>
      <c r="F48" s="485">
        <f t="shared" si="2"/>
        <v>0</v>
      </c>
      <c r="H48" s="920"/>
      <c r="I48" s="117"/>
      <c r="K48" s="10"/>
    </row>
    <row r="49" spans="2:11">
      <c r="B49" s="278" t="s">
        <v>887</v>
      </c>
      <c r="C49" s="112" t="s">
        <v>791</v>
      </c>
      <c r="D49" s="919">
        <f>'A6a. Operations-Site 1'!D48+'A6b. Operations-Site 2'!D48+'A6c. Operations-Site 3'!D48+'A6d. Operations-Site 4'!D48+'A6e. Operations-Site 5'!D48</f>
        <v>0</v>
      </c>
      <c r="E49" s="919">
        <f>'A6a. Operations-Site 1'!E48+'A6b. Operations-Site 2'!E48+'A6c. Operations-Site 3'!E48+'A6d. Operations-Site 4'!E48+'A6e. Operations-Site 5'!E48</f>
        <v>0</v>
      </c>
      <c r="F49" s="485">
        <f t="shared" si="2"/>
        <v>0</v>
      </c>
      <c r="H49" s="920"/>
      <c r="I49" s="117" t="str">
        <f t="shared" si="0"/>
        <v/>
      </c>
      <c r="K49" s="10"/>
    </row>
    <row r="50" spans="2:11">
      <c r="B50" s="278" t="s">
        <v>838</v>
      </c>
      <c r="C50" s="112" t="s">
        <v>792</v>
      </c>
      <c r="D50" s="919">
        <f>'A6a. Operations-Site 1'!D49+'A6b. Operations-Site 2'!D49+'A6c. Operations-Site 3'!D49+'A6d. Operations-Site 4'!D49+'A6e. Operations-Site 5'!D49</f>
        <v>0</v>
      </c>
      <c r="E50" s="919">
        <f>'A6a. Operations-Site 1'!E49+'A6b. Operations-Site 2'!E49+'A6c. Operations-Site 3'!E49+'A6d. Operations-Site 4'!E49+'A6e. Operations-Site 5'!E49</f>
        <v>0</v>
      </c>
      <c r="F50" s="485">
        <f t="shared" si="2"/>
        <v>0</v>
      </c>
      <c r="H50" s="920"/>
      <c r="I50" s="117" t="str">
        <f t="shared" si="0"/>
        <v/>
      </c>
      <c r="K50" s="10"/>
    </row>
    <row r="51" spans="2:11">
      <c r="B51" s="278" t="s">
        <v>964</v>
      </c>
      <c r="C51" s="112" t="s">
        <v>793</v>
      </c>
      <c r="D51" s="919">
        <f>'A6a. Operations-Site 1'!D50+'A6b. Operations-Site 2'!D50+'A6c. Operations-Site 3'!D50+'A6d. Operations-Site 4'!D50+'A6e. Operations-Site 5'!D50</f>
        <v>0</v>
      </c>
      <c r="E51" s="919">
        <f>'A6a. Operations-Site 1'!E50+'A6b. Operations-Site 2'!E50+'A6c. Operations-Site 3'!E50+'A6d. Operations-Site 4'!E50+'A6e. Operations-Site 5'!E50</f>
        <v>0</v>
      </c>
      <c r="F51" s="485">
        <f t="shared" si="2"/>
        <v>0</v>
      </c>
      <c r="H51" s="920"/>
      <c r="I51" s="117" t="str">
        <f t="shared" si="0"/>
        <v/>
      </c>
      <c r="K51" s="10"/>
    </row>
    <row r="52" spans="2:11">
      <c r="B52" s="278" t="s">
        <v>557</v>
      </c>
      <c r="C52" s="112" t="s">
        <v>794</v>
      </c>
      <c r="D52" s="919">
        <f>'A6a. Operations-Site 1'!D51+'A6b. Operations-Site 2'!D51+'A6c. Operations-Site 3'!D51+'A6d. Operations-Site 4'!D51+'A6e. Operations-Site 5'!D51</f>
        <v>0</v>
      </c>
      <c r="E52" s="919">
        <f>'A6a. Operations-Site 1'!E51+'A6b. Operations-Site 2'!E51+'A6c. Operations-Site 3'!E51+'A6d. Operations-Site 4'!E51+'A6e. Operations-Site 5'!E51</f>
        <v>0</v>
      </c>
      <c r="F52" s="485">
        <f t="shared" si="2"/>
        <v>0</v>
      </c>
      <c r="H52" s="920"/>
      <c r="I52" s="117" t="str">
        <f t="shared" si="0"/>
        <v/>
      </c>
      <c r="K52" s="10"/>
    </row>
    <row r="53" spans="2:11" ht="16" thickBot="1">
      <c r="B53" s="921" t="s">
        <v>850</v>
      </c>
      <c r="C53" s="107" t="s">
        <v>795</v>
      </c>
      <c r="D53" s="919">
        <f>'A6a. Operations-Site 1'!D52+'A6b. Operations-Site 2'!D52+'A6c. Operations-Site 3'!D52+'A6d. Operations-Site 4'!D52+'A6e. Operations-Site 5'!D52</f>
        <v>0</v>
      </c>
      <c r="E53" s="919">
        <f>'A6a. Operations-Site 1'!E52+'A6b. Operations-Site 2'!E52+'A6c. Operations-Site 3'!E52+'A6d. Operations-Site 4'!E52+'A6e. Operations-Site 5'!E52</f>
        <v>0</v>
      </c>
      <c r="F53" s="487">
        <f t="shared" si="2"/>
        <v>0</v>
      </c>
      <c r="H53" s="920"/>
      <c r="I53" s="117" t="str">
        <f t="shared" si="0"/>
        <v/>
      </c>
      <c r="K53" s="10"/>
    </row>
    <row r="54" spans="2:11" ht="16" thickBot="1">
      <c r="B54" s="114" t="s">
        <v>721</v>
      </c>
      <c r="C54" s="105" t="s">
        <v>796</v>
      </c>
      <c r="D54" s="484">
        <f>SUM(D55:D61)</f>
        <v>0</v>
      </c>
      <c r="E54" s="484">
        <f>SUM(E55:E61)</f>
        <v>0</v>
      </c>
      <c r="F54" s="484">
        <f>SUM(F55:F61)</f>
        <v>0</v>
      </c>
      <c r="H54" s="491"/>
    </row>
    <row r="55" spans="2:11">
      <c r="B55" s="488" t="s">
        <v>812</v>
      </c>
      <c r="C55" s="112" t="s">
        <v>797</v>
      </c>
      <c r="D55" s="919">
        <f>'A6a. Operations-Site 1'!D54+'A6b. Operations-Site 2'!D54+'A6c. Operations-Site 3'!D54+'A6d. Operations-Site 4'!D54+'A6e. Operations-Site 5'!D54</f>
        <v>0</v>
      </c>
      <c r="E55" s="919">
        <f>'A6a. Operations-Site 1'!E54+'A6b. Operations-Site 2'!E54+'A6c. Operations-Site 3'!E54+'A6d. Operations-Site 4'!E54+'A6e. Operations-Site 5'!E54</f>
        <v>0</v>
      </c>
      <c r="F55" s="545">
        <f t="shared" ref="F55:F61" si="3">+D55-E55</f>
        <v>0</v>
      </c>
      <c r="H55" s="920"/>
      <c r="I55" s="117" t="str">
        <f t="shared" ref="I55:I60" si="4">IF(AND(ISNUMBER(D55), ISBLANK(E55)), "Error: Missing 0-6 amount", "")</f>
        <v/>
      </c>
      <c r="K55" s="10"/>
    </row>
    <row r="56" spans="2:11">
      <c r="B56" s="488" t="s">
        <v>813</v>
      </c>
      <c r="C56" s="112" t="s">
        <v>798</v>
      </c>
      <c r="D56" s="919">
        <f>'A6a. Operations-Site 1'!D55+'A6b. Operations-Site 2'!D55+'A6c. Operations-Site 3'!D55+'A6d. Operations-Site 4'!D55+'A6e. Operations-Site 5'!D55</f>
        <v>0</v>
      </c>
      <c r="E56" s="919">
        <f>'A6a. Operations-Site 1'!E55+'A6b. Operations-Site 2'!E55+'A6c. Operations-Site 3'!E55+'A6d. Operations-Site 4'!E55+'A6e. Operations-Site 5'!E55</f>
        <v>0</v>
      </c>
      <c r="F56" s="485">
        <f t="shared" si="3"/>
        <v>0</v>
      </c>
      <c r="H56" s="920"/>
      <c r="I56" s="117" t="str">
        <f t="shared" si="4"/>
        <v/>
      </c>
      <c r="K56" s="10"/>
    </row>
    <row r="57" spans="2:11">
      <c r="B57" s="489" t="s">
        <v>735</v>
      </c>
      <c r="C57" s="112" t="s">
        <v>799</v>
      </c>
      <c r="D57" s="919">
        <f>'A6a. Operations-Site 1'!D56+'A6b. Operations-Site 2'!D56+'A6c. Operations-Site 3'!D56+'A6d. Operations-Site 4'!D56+'A6e. Operations-Site 5'!D56</f>
        <v>0</v>
      </c>
      <c r="E57" s="919">
        <f>'A6a. Operations-Site 1'!E56+'A6b. Operations-Site 2'!E56+'A6c. Operations-Site 3'!E56+'A6d. Operations-Site 4'!E56+'A6e. Operations-Site 5'!E56</f>
        <v>0</v>
      </c>
      <c r="F57" s="485">
        <f t="shared" si="3"/>
        <v>0</v>
      </c>
      <c r="H57" s="920"/>
      <c r="I57" s="117" t="str">
        <f t="shared" si="4"/>
        <v/>
      </c>
      <c r="K57" s="10"/>
    </row>
    <row r="58" spans="2:11">
      <c r="B58" s="489" t="s">
        <v>814</v>
      </c>
      <c r="C58" s="112" t="s">
        <v>846</v>
      </c>
      <c r="D58" s="919">
        <f>'A6a. Operations-Site 1'!D57+'A6b. Operations-Site 2'!D57+'A6c. Operations-Site 3'!D57+'A6d. Operations-Site 4'!D57+'A6e. Operations-Site 5'!D57</f>
        <v>0</v>
      </c>
      <c r="E58" s="919">
        <f>'A6a. Operations-Site 1'!E57+'A6b. Operations-Site 2'!E57+'A6c. Operations-Site 3'!E57+'A6d. Operations-Site 4'!E57+'A6e. Operations-Site 5'!E57</f>
        <v>0</v>
      </c>
      <c r="F58" s="490">
        <f t="shared" si="3"/>
        <v>0</v>
      </c>
      <c r="H58" s="920"/>
      <c r="I58" s="117" t="str">
        <f t="shared" si="4"/>
        <v/>
      </c>
      <c r="K58" s="10"/>
    </row>
    <row r="59" spans="2:11">
      <c r="B59" s="489" t="s">
        <v>839</v>
      </c>
      <c r="C59" s="112" t="s">
        <v>847</v>
      </c>
      <c r="D59" s="919">
        <f>'A6a. Operations-Site 1'!D58+'A6b. Operations-Site 2'!D58+'A6c. Operations-Site 3'!D58+'A6d. Operations-Site 4'!D58+'A6e. Operations-Site 5'!D58</f>
        <v>0</v>
      </c>
      <c r="E59" s="919">
        <f>'A6a. Operations-Site 1'!E58+'A6b. Operations-Site 2'!E58+'A6c. Operations-Site 3'!E58+'A6d. Operations-Site 4'!E58+'A6e. Operations-Site 5'!E58</f>
        <v>0</v>
      </c>
      <c r="F59" s="490">
        <f t="shared" si="3"/>
        <v>0</v>
      </c>
      <c r="H59" s="920"/>
      <c r="I59" s="117" t="str">
        <f t="shared" si="4"/>
        <v/>
      </c>
      <c r="K59" s="10"/>
    </row>
    <row r="60" spans="2:11">
      <c r="B60" s="489" t="s">
        <v>840</v>
      </c>
      <c r="C60" s="112" t="s">
        <v>848</v>
      </c>
      <c r="D60" s="919">
        <f>'A6a. Operations-Site 1'!D59+'A6b. Operations-Site 2'!D59+'A6c. Operations-Site 3'!D59+'A6d. Operations-Site 4'!D59+'A6e. Operations-Site 5'!D59</f>
        <v>0</v>
      </c>
      <c r="E60" s="919">
        <f>'A6a. Operations-Site 1'!E59+'A6b. Operations-Site 2'!E59+'A6c. Operations-Site 3'!E59+'A6d. Operations-Site 4'!E59+'A6e. Operations-Site 5'!E59</f>
        <v>0</v>
      </c>
      <c r="F60" s="490">
        <f t="shared" si="3"/>
        <v>0</v>
      </c>
      <c r="H60" s="920"/>
      <c r="I60" s="117" t="str">
        <f t="shared" si="4"/>
        <v/>
      </c>
      <c r="K60" s="10"/>
    </row>
    <row r="61" spans="2:11" ht="16" thickBot="1">
      <c r="B61" s="922" t="s">
        <v>722</v>
      </c>
      <c r="C61" s="107" t="s">
        <v>849</v>
      </c>
      <c r="D61" s="919">
        <f>'A6a. Operations-Site 1'!D60+'A6b. Operations-Site 2'!D60+'A6c. Operations-Site 3'!D60+'A6d. Operations-Site 4'!D60+'A6e. Operations-Site 5'!D60</f>
        <v>0</v>
      </c>
      <c r="E61" s="919">
        <f>'A6a. Operations-Site 1'!E60+'A6b. Operations-Site 2'!E60+'A6c. Operations-Site 3'!E60+'A6d. Operations-Site 4'!E60+'A6e. Operations-Site 5'!E60</f>
        <v>0</v>
      </c>
      <c r="F61" s="487">
        <f t="shared" si="3"/>
        <v>0</v>
      </c>
      <c r="H61" s="920"/>
      <c r="I61" s="117" t="str">
        <f>IF(AND(ISNUMBER(D61), ISBLANK(E61)), "Error: Missing 0-6 amount", "")</f>
        <v/>
      </c>
      <c r="K61" s="10"/>
    </row>
    <row r="62" spans="2:11" s="12" customFormat="1" ht="16" thickBot="1">
      <c r="B62" s="14"/>
      <c r="C62" s="14"/>
      <c r="D62" s="14"/>
      <c r="E62" s="14"/>
      <c r="F62" s="14"/>
      <c r="G62" s="14"/>
      <c r="H62" s="491"/>
      <c r="K62" s="10"/>
    </row>
    <row r="63" spans="2:11" ht="16" thickBot="1">
      <c r="B63" s="492" t="s">
        <v>45</v>
      </c>
      <c r="C63" s="105">
        <v>421</v>
      </c>
      <c r="D63" s="484">
        <f>SUM(D64:D70)</f>
        <v>0</v>
      </c>
      <c r="E63" s="484">
        <f>SUM(E64:E70)</f>
        <v>0</v>
      </c>
      <c r="F63" s="484">
        <f>SUM(F64:F70)</f>
        <v>0</v>
      </c>
      <c r="H63" s="491"/>
      <c r="I63" s="494"/>
      <c r="K63" s="10"/>
    </row>
    <row r="64" spans="2:11">
      <c r="B64" s="26" t="s">
        <v>178</v>
      </c>
      <c r="C64" s="106" t="s">
        <v>46</v>
      </c>
      <c r="D64" s="919">
        <f>'A6a. Operations-Site 1'!D63+'A6b. Operations-Site 2'!D63+'A6c. Operations-Site 3'!D63+'A6d. Operations-Site 4'!D63+'A6e. Operations-Site 5'!D63</f>
        <v>0</v>
      </c>
      <c r="E64" s="919">
        <f>'A6a. Operations-Site 1'!E63+'A6b. Operations-Site 2'!E63+'A6c. Operations-Site 3'!E63+'A6d. Operations-Site 4'!E63+'A6e. Operations-Site 5'!E63</f>
        <v>0</v>
      </c>
      <c r="F64" s="545">
        <f t="shared" ref="F64:F70" si="5">+D64-E64</f>
        <v>0</v>
      </c>
      <c r="H64" s="920"/>
      <c r="I64" s="117" t="str">
        <f>IF(AND(ISNUMBER(D64), ISBLANK(E64)), "Error: Missing 0-6 amount", "")</f>
        <v/>
      </c>
      <c r="K64" s="10"/>
    </row>
    <row r="65" spans="2:11">
      <c r="B65" s="26" t="s">
        <v>179</v>
      </c>
      <c r="C65" s="106" t="s">
        <v>48</v>
      </c>
      <c r="D65" s="919">
        <f>'A6a. Operations-Site 1'!D64+'A6b. Operations-Site 2'!D64+'A6c. Operations-Site 3'!D64+'A6d. Operations-Site 4'!D64+'A6e. Operations-Site 5'!D64</f>
        <v>0</v>
      </c>
      <c r="E65" s="919">
        <f>'A6a. Operations-Site 1'!E64+'A6b. Operations-Site 2'!E64+'A6c. Operations-Site 3'!E64+'A6d. Operations-Site 4'!E64+'A6e. Operations-Site 5'!E64</f>
        <v>0</v>
      </c>
      <c r="F65" s="485">
        <f t="shared" si="5"/>
        <v>0</v>
      </c>
      <c r="H65" s="920"/>
      <c r="I65" s="117" t="str">
        <f t="shared" ref="I65:I70" si="6">IF(AND(ISNUMBER(D65), ISBLANK(E65)), "Error: Missing 0-6 amount", "")</f>
        <v/>
      </c>
      <c r="K65" s="10"/>
    </row>
    <row r="66" spans="2:11">
      <c r="B66" s="26" t="s">
        <v>180</v>
      </c>
      <c r="C66" s="106" t="s">
        <v>49</v>
      </c>
      <c r="D66" s="919">
        <f>'A6a. Operations-Site 1'!D65+'A6b. Operations-Site 2'!D65+'A6c. Operations-Site 3'!D65+'A6d. Operations-Site 4'!D65+'A6e. Operations-Site 5'!D65</f>
        <v>0</v>
      </c>
      <c r="E66" s="919">
        <f>'A6a. Operations-Site 1'!E65+'A6b. Operations-Site 2'!E65+'A6c. Operations-Site 3'!E65+'A6d. Operations-Site 4'!E65+'A6e. Operations-Site 5'!E65</f>
        <v>0</v>
      </c>
      <c r="F66" s="485">
        <f t="shared" si="5"/>
        <v>0</v>
      </c>
      <c r="H66" s="920"/>
      <c r="I66" s="117" t="str">
        <f t="shared" si="6"/>
        <v/>
      </c>
      <c r="K66" s="10"/>
    </row>
    <row r="67" spans="2:11">
      <c r="B67" s="26" t="s">
        <v>181</v>
      </c>
      <c r="C67" s="106" t="s">
        <v>50</v>
      </c>
      <c r="D67" s="919">
        <f>'A6a. Operations-Site 1'!D66+'A6b. Operations-Site 2'!D66+'A6c. Operations-Site 3'!D66+'A6d. Operations-Site 4'!D66+'A6e. Operations-Site 5'!D66</f>
        <v>0</v>
      </c>
      <c r="E67" s="919">
        <f>'A6a. Operations-Site 1'!E66+'A6b. Operations-Site 2'!E66+'A6c. Operations-Site 3'!E66+'A6d. Operations-Site 4'!E66+'A6e. Operations-Site 5'!E66</f>
        <v>0</v>
      </c>
      <c r="F67" s="485">
        <f t="shared" si="5"/>
        <v>0</v>
      </c>
      <c r="H67" s="920"/>
      <c r="I67" s="117" t="str">
        <f t="shared" si="6"/>
        <v/>
      </c>
      <c r="K67" s="10"/>
    </row>
    <row r="68" spans="2:11">
      <c r="B68" s="26" t="s">
        <v>182</v>
      </c>
      <c r="C68" s="106" t="s">
        <v>183</v>
      </c>
      <c r="D68" s="919">
        <f>'A6a. Operations-Site 1'!D67+'A6b. Operations-Site 2'!D67+'A6c. Operations-Site 3'!D67+'A6d. Operations-Site 4'!D67+'A6e. Operations-Site 5'!D67</f>
        <v>0</v>
      </c>
      <c r="E68" s="919">
        <f>'A6a. Operations-Site 1'!E67+'A6b. Operations-Site 2'!E67+'A6c. Operations-Site 3'!E67+'A6d. Operations-Site 4'!E67+'A6e. Operations-Site 5'!E67</f>
        <v>0</v>
      </c>
      <c r="F68" s="485">
        <f t="shared" si="5"/>
        <v>0</v>
      </c>
      <c r="H68" s="920"/>
      <c r="I68" s="117" t="str">
        <f t="shared" si="6"/>
        <v/>
      </c>
      <c r="K68" s="10"/>
    </row>
    <row r="69" spans="2:11">
      <c r="B69" s="26" t="s">
        <v>184</v>
      </c>
      <c r="C69" s="106" t="s">
        <v>51</v>
      </c>
      <c r="D69" s="919">
        <f>'A6a. Operations-Site 1'!D68+'A6b. Operations-Site 2'!D68+'A6c. Operations-Site 3'!D68+'A6d. Operations-Site 4'!D68+'A6e. Operations-Site 5'!D68</f>
        <v>0</v>
      </c>
      <c r="E69" s="919">
        <f>'A6a. Operations-Site 1'!E68+'A6b. Operations-Site 2'!E68+'A6c. Operations-Site 3'!E68+'A6d. Operations-Site 4'!E68+'A6e. Operations-Site 5'!E68</f>
        <v>0</v>
      </c>
      <c r="F69" s="485">
        <f t="shared" si="5"/>
        <v>0</v>
      </c>
      <c r="H69" s="920"/>
      <c r="I69" s="117" t="str">
        <f t="shared" si="6"/>
        <v/>
      </c>
      <c r="K69" s="10"/>
    </row>
    <row r="70" spans="2:11" ht="16" thickBot="1">
      <c r="B70" s="499" t="s">
        <v>177</v>
      </c>
      <c r="C70" s="107" t="s">
        <v>47</v>
      </c>
      <c r="D70" s="919">
        <f>'A6a. Operations-Site 1'!D69+'A6b. Operations-Site 2'!D69+'A6c. Operations-Site 3'!D69+'A6d. Operations-Site 4'!D69+'A6e. Operations-Site 5'!D69</f>
        <v>0</v>
      </c>
      <c r="E70" s="919">
        <f>'A6a. Operations-Site 1'!E69+'A6b. Operations-Site 2'!E69+'A6c. Operations-Site 3'!E69+'A6d. Operations-Site 4'!E69+'A6e. Operations-Site 5'!E69</f>
        <v>0</v>
      </c>
      <c r="F70" s="487">
        <f t="shared" si="5"/>
        <v>0</v>
      </c>
      <c r="H70" s="920"/>
      <c r="I70" s="117" t="str">
        <f t="shared" si="6"/>
        <v/>
      </c>
      <c r="K70" s="10"/>
    </row>
    <row r="71" spans="2:11" s="12" customFormat="1" ht="16" thickBot="1">
      <c r="B71" s="9"/>
      <c r="C71" s="9"/>
      <c r="D71" s="9"/>
      <c r="E71" s="9"/>
      <c r="F71" s="9"/>
      <c r="H71" s="491"/>
      <c r="K71" s="10"/>
    </row>
    <row r="72" spans="2:11" s="12" customFormat="1" ht="16" thickBot="1">
      <c r="B72" s="492" t="s">
        <v>52</v>
      </c>
      <c r="C72" s="105">
        <v>431</v>
      </c>
      <c r="D72" s="484">
        <f>SUM(D73:D75)</f>
        <v>0</v>
      </c>
      <c r="E72" s="484">
        <f>SUM(E73:E75)</f>
        <v>0</v>
      </c>
      <c r="F72" s="484">
        <f>SUM(F73:F75)</f>
        <v>0</v>
      </c>
      <c r="H72" s="491"/>
      <c r="K72" s="10"/>
    </row>
    <row r="73" spans="2:11" s="12" customFormat="1">
      <c r="B73" s="26" t="s">
        <v>185</v>
      </c>
      <c r="C73" s="106" t="s">
        <v>53</v>
      </c>
      <c r="D73" s="919">
        <f>'A6a. Operations-Site 1'!D72+'A6b. Operations-Site 2'!D72+'A6c. Operations-Site 3'!D72+'A6d. Operations-Site 4'!D72+'A6e. Operations-Site 5'!D72</f>
        <v>0</v>
      </c>
      <c r="E73" s="919">
        <f>'A6a. Operations-Site 1'!E72+'A6b. Operations-Site 2'!E72+'A6c. Operations-Site 3'!E72+'A6d. Operations-Site 4'!E72+'A6e. Operations-Site 5'!E72</f>
        <v>0</v>
      </c>
      <c r="F73" s="545">
        <f t="shared" ref="F73:F102" si="7">+D73-E73</f>
        <v>0</v>
      </c>
      <c r="G73" s="9"/>
      <c r="H73" s="920"/>
      <c r="K73" s="10"/>
    </row>
    <row r="74" spans="2:11">
      <c r="B74" s="26" t="s">
        <v>186</v>
      </c>
      <c r="C74" s="106" t="s">
        <v>54</v>
      </c>
      <c r="D74" s="919">
        <f>'A6a. Operations-Site 1'!D73+'A6b. Operations-Site 2'!D73+'A6c. Operations-Site 3'!D73+'A6d. Operations-Site 4'!D73+'A6e. Operations-Site 5'!D73</f>
        <v>0</v>
      </c>
      <c r="E74" s="919">
        <f>'A6a. Operations-Site 1'!E73+'A6b. Operations-Site 2'!E73+'A6c. Operations-Site 3'!E73+'A6d. Operations-Site 4'!E73+'A6e. Operations-Site 5'!E73</f>
        <v>0</v>
      </c>
      <c r="F74" s="485">
        <f t="shared" si="7"/>
        <v>0</v>
      </c>
      <c r="G74" s="12"/>
      <c r="H74" s="920"/>
      <c r="K74" s="10"/>
    </row>
    <row r="75" spans="2:11" s="12" customFormat="1" ht="16" thickBot="1">
      <c r="B75" s="499" t="s">
        <v>177</v>
      </c>
      <c r="C75" s="107" t="s">
        <v>187</v>
      </c>
      <c r="D75" s="919">
        <f>'A6a. Operations-Site 1'!D74+'A6b. Operations-Site 2'!D74+'A6c. Operations-Site 3'!D74+'A6d. Operations-Site 4'!D74+'A6e. Operations-Site 5'!D74</f>
        <v>0</v>
      </c>
      <c r="E75" s="919">
        <f>'A6a. Operations-Site 1'!E74+'A6b. Operations-Site 2'!E74+'A6c. Operations-Site 3'!E74+'A6d. Operations-Site 4'!E74+'A6e. Operations-Site 5'!E74</f>
        <v>0</v>
      </c>
      <c r="F75" s="487">
        <f t="shared" si="7"/>
        <v>0</v>
      </c>
      <c r="G75" s="9"/>
      <c r="H75" s="920"/>
      <c r="K75" s="10"/>
    </row>
    <row r="76" spans="2:11" ht="16" thickBot="1">
      <c r="G76" s="12"/>
      <c r="H76" s="491"/>
      <c r="K76" s="10"/>
    </row>
    <row r="77" spans="2:11" s="12" customFormat="1" ht="16" thickBot="1">
      <c r="B77" s="492" t="s">
        <v>55</v>
      </c>
      <c r="C77" s="105">
        <v>441</v>
      </c>
      <c r="D77" s="484">
        <f>SUM(D78:D79)</f>
        <v>0</v>
      </c>
      <c r="E77" s="484">
        <f>SUM(E78:E79)</f>
        <v>0</v>
      </c>
      <c r="F77" s="484">
        <f>SUM(F78:F79)</f>
        <v>0</v>
      </c>
      <c r="H77" s="491"/>
      <c r="K77" s="10"/>
    </row>
    <row r="78" spans="2:11" s="12" customFormat="1">
      <c r="B78" s="26" t="s">
        <v>188</v>
      </c>
      <c r="C78" s="106" t="s">
        <v>56</v>
      </c>
      <c r="D78" s="919">
        <f>'A6a. Operations-Site 1'!D77+'A6b. Operations-Site 2'!D77+'A6c. Operations-Site 3'!D77+'A6d. Operations-Site 4'!D77+'A6e. Operations-Site 5'!D77</f>
        <v>0</v>
      </c>
      <c r="E78" s="919">
        <f>'A6a. Operations-Site 1'!E77+'A6b. Operations-Site 2'!E77+'A6c. Operations-Site 3'!E77+'A6d. Operations-Site 4'!E77+'A6e. Operations-Site 5'!E77</f>
        <v>0</v>
      </c>
      <c r="F78" s="545">
        <f t="shared" si="7"/>
        <v>0</v>
      </c>
      <c r="G78" s="9"/>
      <c r="H78" s="920"/>
      <c r="K78" s="10"/>
    </row>
    <row r="79" spans="2:11" s="12" customFormat="1" ht="16" thickBot="1">
      <c r="B79" s="499" t="s">
        <v>177</v>
      </c>
      <c r="C79" s="107" t="s">
        <v>189</v>
      </c>
      <c r="D79" s="919">
        <f>'A6a. Operations-Site 1'!D78+'A6b. Operations-Site 2'!D78+'A6c. Operations-Site 3'!D78+'A6d. Operations-Site 4'!D78+'A6e. Operations-Site 5'!D78</f>
        <v>0</v>
      </c>
      <c r="E79" s="919">
        <f>'A6a. Operations-Site 1'!E78+'A6b. Operations-Site 2'!E78+'A6c. Operations-Site 3'!E78+'A6d. Operations-Site 4'!E78+'A6e. Operations-Site 5'!E78</f>
        <v>0</v>
      </c>
      <c r="F79" s="487">
        <f t="shared" si="7"/>
        <v>0</v>
      </c>
      <c r="G79" s="9"/>
      <c r="H79" s="920"/>
      <c r="K79" s="10"/>
    </row>
    <row r="80" spans="2:11" ht="15.75" customHeight="1" thickBot="1">
      <c r="H80" s="491"/>
      <c r="K80" s="10"/>
    </row>
    <row r="81" spans="2:11" ht="15" customHeight="1" thickBot="1">
      <c r="B81" s="492" t="s">
        <v>57</v>
      </c>
      <c r="C81" s="105">
        <v>451</v>
      </c>
      <c r="D81" s="484">
        <f>SUM(D82:D102)</f>
        <v>0</v>
      </c>
      <c r="E81" s="484">
        <f>SUM(E82:E102)</f>
        <v>0</v>
      </c>
      <c r="F81" s="484">
        <f>SUM(F82:F102)</f>
        <v>0</v>
      </c>
      <c r="H81" s="491"/>
      <c r="K81" s="10"/>
    </row>
    <row r="82" spans="2:11" ht="14.5" customHeight="1">
      <c r="B82" s="26" t="s">
        <v>190</v>
      </c>
      <c r="C82" s="106" t="s">
        <v>58</v>
      </c>
      <c r="D82" s="919">
        <f>'A6a. Operations-Site 1'!D81+'A6b. Operations-Site 2'!D81+'A6c. Operations-Site 3'!D81+'A6d. Operations-Site 4'!D81+'A6e. Operations-Site 5'!D81</f>
        <v>0</v>
      </c>
      <c r="E82" s="919">
        <f>'A6a. Operations-Site 1'!E81+'A6b. Operations-Site 2'!E81+'A6c. Operations-Site 3'!E81+'A6d. Operations-Site 4'!E81+'A6e. Operations-Site 5'!E81</f>
        <v>0</v>
      </c>
      <c r="F82" s="545">
        <f t="shared" si="7"/>
        <v>0</v>
      </c>
      <c r="H82" s="920"/>
      <c r="K82" s="10"/>
    </row>
    <row r="83" spans="2:11" ht="14.5" customHeight="1">
      <c r="B83" s="497" t="s">
        <v>821</v>
      </c>
      <c r="C83" s="106" t="s">
        <v>59</v>
      </c>
      <c r="D83" s="919">
        <f>'A6a. Operations-Site 1'!D82+'A6b. Operations-Site 2'!D82+'A6c. Operations-Site 3'!D82+'A6d. Operations-Site 4'!D82+'A6e. Operations-Site 5'!D82</f>
        <v>0</v>
      </c>
      <c r="E83" s="919">
        <f>'A6a. Operations-Site 1'!E82+'A6b. Operations-Site 2'!E82+'A6c. Operations-Site 3'!E82+'A6d. Operations-Site 4'!E82+'A6e. Operations-Site 5'!E82</f>
        <v>0</v>
      </c>
      <c r="F83" s="485">
        <f t="shared" si="7"/>
        <v>0</v>
      </c>
      <c r="H83" s="920"/>
      <c r="K83" s="10"/>
    </row>
    <row r="84" spans="2:11" ht="14.5" customHeight="1">
      <c r="B84" s="497" t="s">
        <v>822</v>
      </c>
      <c r="C84" s="106" t="s">
        <v>409</v>
      </c>
      <c r="D84" s="919">
        <f>'A6a. Operations-Site 1'!D83+'A6b. Operations-Site 2'!D83+'A6c. Operations-Site 3'!D83+'A6d. Operations-Site 4'!D83+'A6e. Operations-Site 5'!D83</f>
        <v>0</v>
      </c>
      <c r="E84" s="919">
        <f>'A6a. Operations-Site 1'!E83+'A6b. Operations-Site 2'!E83+'A6c. Operations-Site 3'!E83+'A6d. Operations-Site 4'!E83+'A6e. Operations-Site 5'!E83</f>
        <v>0</v>
      </c>
      <c r="F84" s="485">
        <f t="shared" si="7"/>
        <v>0</v>
      </c>
      <c r="H84" s="920"/>
      <c r="K84" s="10"/>
    </row>
    <row r="85" spans="2:11">
      <c r="B85" s="26" t="s">
        <v>191</v>
      </c>
      <c r="C85" s="106" t="s">
        <v>60</v>
      </c>
      <c r="D85" s="919">
        <f>'A6a. Operations-Site 1'!D84+'A6b. Operations-Site 2'!D84+'A6c. Operations-Site 3'!D84+'A6d. Operations-Site 4'!D84+'A6e. Operations-Site 5'!D84</f>
        <v>0</v>
      </c>
      <c r="E85" s="919">
        <f>'A6a. Operations-Site 1'!E84+'A6b. Operations-Site 2'!E84+'A6c. Operations-Site 3'!E84+'A6d. Operations-Site 4'!E84+'A6e. Operations-Site 5'!E84</f>
        <v>0</v>
      </c>
      <c r="F85" s="485">
        <f t="shared" si="7"/>
        <v>0</v>
      </c>
      <c r="H85" s="920"/>
      <c r="K85" s="10"/>
    </row>
    <row r="86" spans="2:11">
      <c r="B86" s="26" t="s">
        <v>192</v>
      </c>
      <c r="C86" s="106" t="s">
        <v>61</v>
      </c>
      <c r="D86" s="919">
        <f>'A6a. Operations-Site 1'!D85+'A6b. Operations-Site 2'!D85+'A6c. Operations-Site 3'!D85+'A6d. Operations-Site 4'!D85+'A6e. Operations-Site 5'!D85</f>
        <v>0</v>
      </c>
      <c r="E86" s="919">
        <f>'A6a. Operations-Site 1'!E85+'A6b. Operations-Site 2'!E85+'A6c. Operations-Site 3'!E85+'A6d. Operations-Site 4'!E85+'A6e. Operations-Site 5'!E85</f>
        <v>0</v>
      </c>
      <c r="F86" s="485">
        <f>+D86-E86</f>
        <v>0</v>
      </c>
      <c r="H86" s="920"/>
      <c r="K86" s="10"/>
    </row>
    <row r="87" spans="2:11">
      <c r="B87" s="26" t="s">
        <v>193</v>
      </c>
      <c r="C87" s="106" t="s">
        <v>62</v>
      </c>
      <c r="D87" s="919">
        <f>'A6a. Operations-Site 1'!D86+'A6b. Operations-Site 2'!D86+'A6c. Operations-Site 3'!D86+'A6d. Operations-Site 4'!D86+'A6e. Operations-Site 5'!D86</f>
        <v>0</v>
      </c>
      <c r="E87" s="919">
        <f>'A6a. Operations-Site 1'!E86+'A6b. Operations-Site 2'!E86+'A6c. Operations-Site 3'!E86+'A6d. Operations-Site 4'!E86+'A6e. Operations-Site 5'!E86</f>
        <v>0</v>
      </c>
      <c r="F87" s="485">
        <f>+D87-E87</f>
        <v>0</v>
      </c>
      <c r="H87" s="920"/>
      <c r="K87" s="10"/>
    </row>
    <row r="88" spans="2:11">
      <c r="B88" s="26" t="s">
        <v>240</v>
      </c>
      <c r="C88" s="106" t="s">
        <v>63</v>
      </c>
      <c r="D88" s="919">
        <f>'A6a. Operations-Site 1'!D87+'A6b. Operations-Site 2'!D87+'A6c. Operations-Site 3'!D87+'A6d. Operations-Site 4'!D87+'A6e. Operations-Site 5'!D87</f>
        <v>0</v>
      </c>
      <c r="E88" s="919">
        <f>'A6a. Operations-Site 1'!E87+'A6b. Operations-Site 2'!E87+'A6c. Operations-Site 3'!E87+'A6d. Operations-Site 4'!E87+'A6e. Operations-Site 5'!E87</f>
        <v>0</v>
      </c>
      <c r="F88" s="485">
        <f t="shared" si="7"/>
        <v>0</v>
      </c>
      <c r="H88" s="920"/>
      <c r="K88" s="10"/>
    </row>
    <row r="89" spans="2:11">
      <c r="B89" s="26" t="s">
        <v>194</v>
      </c>
      <c r="C89" s="106" t="s">
        <v>64</v>
      </c>
      <c r="D89" s="919">
        <f>'A6a. Operations-Site 1'!D88+'A6b. Operations-Site 2'!D88+'A6c. Operations-Site 3'!D88+'A6d. Operations-Site 4'!D88+'A6e. Operations-Site 5'!D88</f>
        <v>0</v>
      </c>
      <c r="E89" s="919">
        <f>'A6a. Operations-Site 1'!E88+'A6b. Operations-Site 2'!E88+'A6c. Operations-Site 3'!E88+'A6d. Operations-Site 4'!E88+'A6e. Operations-Site 5'!E88</f>
        <v>0</v>
      </c>
      <c r="F89" s="485">
        <f t="shared" si="7"/>
        <v>0</v>
      </c>
      <c r="H89" s="920"/>
      <c r="K89" s="10"/>
    </row>
    <row r="90" spans="2:11">
      <c r="B90" s="20" t="s">
        <v>723</v>
      </c>
      <c r="C90" s="106" t="s">
        <v>65</v>
      </c>
      <c r="D90" s="919">
        <f>'A6a. Operations-Site 1'!D89+'A6b. Operations-Site 2'!D89+'A6c. Operations-Site 3'!D89+'A6d. Operations-Site 4'!D89+'A6e. Operations-Site 5'!D89</f>
        <v>0</v>
      </c>
      <c r="E90" s="919">
        <f>'A6a. Operations-Site 1'!E89+'A6b. Operations-Site 2'!E89+'A6c. Operations-Site 3'!E89+'A6d. Operations-Site 4'!E89+'A6e. Operations-Site 5'!E89</f>
        <v>0</v>
      </c>
      <c r="F90" s="485">
        <f t="shared" si="7"/>
        <v>0</v>
      </c>
      <c r="H90" s="920"/>
      <c r="K90" s="10"/>
    </row>
    <row r="91" spans="2:11">
      <c r="B91" s="20" t="s">
        <v>195</v>
      </c>
      <c r="C91" s="106" t="s">
        <v>66</v>
      </c>
      <c r="D91" s="919">
        <f>'A6a. Operations-Site 1'!D90+'A6b. Operations-Site 2'!D90+'A6c. Operations-Site 3'!D90+'A6d. Operations-Site 4'!D90+'A6e. Operations-Site 5'!D90</f>
        <v>0</v>
      </c>
      <c r="E91" s="919">
        <f>'A6a. Operations-Site 1'!E90+'A6b. Operations-Site 2'!E90+'A6c. Operations-Site 3'!E90+'A6d. Operations-Site 4'!E90+'A6e. Operations-Site 5'!E90</f>
        <v>0</v>
      </c>
      <c r="F91" s="485">
        <f t="shared" si="7"/>
        <v>0</v>
      </c>
      <c r="H91" s="920"/>
      <c r="K91" s="10"/>
    </row>
    <row r="92" spans="2:11">
      <c r="B92" s="26" t="s">
        <v>196</v>
      </c>
      <c r="C92" s="106" t="s">
        <v>67</v>
      </c>
      <c r="D92" s="919">
        <f>'A6a. Operations-Site 1'!D91+'A6b. Operations-Site 2'!D91+'A6c. Operations-Site 3'!D91+'A6d. Operations-Site 4'!D91+'A6e. Operations-Site 5'!D91</f>
        <v>0</v>
      </c>
      <c r="E92" s="919">
        <f>'A6a. Operations-Site 1'!E91+'A6b. Operations-Site 2'!E91+'A6c. Operations-Site 3'!E91+'A6d. Operations-Site 4'!E91+'A6e. Operations-Site 5'!E91</f>
        <v>0</v>
      </c>
      <c r="F92" s="485">
        <f t="shared" si="7"/>
        <v>0</v>
      </c>
      <c r="H92" s="920"/>
      <c r="K92" s="10"/>
    </row>
    <row r="93" spans="2:11">
      <c r="B93" s="26" t="s">
        <v>197</v>
      </c>
      <c r="C93" s="106" t="s">
        <v>68</v>
      </c>
      <c r="D93" s="919">
        <f>'A6a. Operations-Site 1'!D92+'A6b. Operations-Site 2'!D92+'A6c. Operations-Site 3'!D92+'A6d. Operations-Site 4'!D92+'A6e. Operations-Site 5'!D92</f>
        <v>0</v>
      </c>
      <c r="E93" s="919">
        <f>'A6a. Operations-Site 1'!E92+'A6b. Operations-Site 2'!E92+'A6c. Operations-Site 3'!E92+'A6d. Operations-Site 4'!E92+'A6e. Operations-Site 5'!E92</f>
        <v>0</v>
      </c>
      <c r="F93" s="485">
        <f t="shared" si="7"/>
        <v>0</v>
      </c>
      <c r="H93" s="920"/>
      <c r="K93" s="10"/>
    </row>
    <row r="94" spans="2:11">
      <c r="B94" s="26" t="s">
        <v>198</v>
      </c>
      <c r="C94" s="106" t="s">
        <v>69</v>
      </c>
      <c r="D94" s="919">
        <f>'A6a. Operations-Site 1'!D93+'A6b. Operations-Site 2'!D93+'A6c. Operations-Site 3'!D93+'A6d. Operations-Site 4'!D93+'A6e. Operations-Site 5'!D93</f>
        <v>0</v>
      </c>
      <c r="E94" s="919">
        <f>'A6a. Operations-Site 1'!E93+'A6b. Operations-Site 2'!E93+'A6c. Operations-Site 3'!E93+'A6d. Operations-Site 4'!E93+'A6e. Operations-Site 5'!E93</f>
        <v>0</v>
      </c>
      <c r="F94" s="485">
        <f t="shared" si="7"/>
        <v>0</v>
      </c>
      <c r="G94" s="12"/>
      <c r="H94" s="920"/>
      <c r="K94" s="10"/>
    </row>
    <row r="95" spans="2:11" s="12" customFormat="1">
      <c r="B95" s="26" t="s">
        <v>199</v>
      </c>
      <c r="C95" s="106" t="s">
        <v>70</v>
      </c>
      <c r="D95" s="919">
        <f>'A6a. Operations-Site 1'!D94+'A6b. Operations-Site 2'!D94+'A6c. Operations-Site 3'!D94+'A6d. Operations-Site 4'!D94+'A6e. Operations-Site 5'!D94</f>
        <v>0</v>
      </c>
      <c r="E95" s="919">
        <f>'A6a. Operations-Site 1'!E94+'A6b. Operations-Site 2'!E94+'A6c. Operations-Site 3'!E94+'A6d. Operations-Site 4'!E94+'A6e. Operations-Site 5'!E94</f>
        <v>0</v>
      </c>
      <c r="F95" s="485">
        <f t="shared" si="7"/>
        <v>0</v>
      </c>
      <c r="G95" s="9"/>
      <c r="H95" s="920"/>
      <c r="K95" s="10"/>
    </row>
    <row r="96" spans="2:11" s="12" customFormat="1">
      <c r="B96" s="20" t="s">
        <v>467</v>
      </c>
      <c r="C96" s="106" t="s">
        <v>466</v>
      </c>
      <c r="D96" s="919">
        <f>'A6a. Operations-Site 1'!D95+'A6b. Operations-Site 2'!D95+'A6c. Operations-Site 3'!D95+'A6d. Operations-Site 4'!D95+'A6e. Operations-Site 5'!D95</f>
        <v>0</v>
      </c>
      <c r="E96" s="919">
        <f>'A6a. Operations-Site 1'!E95+'A6b. Operations-Site 2'!E95+'A6c. Operations-Site 3'!E95+'A6d. Operations-Site 4'!E95+'A6e. Operations-Site 5'!E95</f>
        <v>0</v>
      </c>
      <c r="F96" s="485">
        <f t="shared" si="7"/>
        <v>0</v>
      </c>
      <c r="G96" s="9"/>
      <c r="H96" s="920"/>
      <c r="K96" s="10"/>
    </row>
    <row r="97" spans="2:11">
      <c r="B97" s="26" t="s">
        <v>200</v>
      </c>
      <c r="C97" s="106" t="s">
        <v>71</v>
      </c>
      <c r="D97" s="919">
        <f>'A6a. Operations-Site 1'!D96+'A6b. Operations-Site 2'!D96+'A6c. Operations-Site 3'!D96+'A6d. Operations-Site 4'!D96+'A6e. Operations-Site 5'!D96</f>
        <v>0</v>
      </c>
      <c r="E97" s="919">
        <f>'A6a. Operations-Site 1'!E96+'A6b. Operations-Site 2'!E96+'A6c. Operations-Site 3'!E96+'A6d. Operations-Site 4'!E96+'A6e. Operations-Site 5'!E96</f>
        <v>0</v>
      </c>
      <c r="F97" s="485">
        <f t="shared" si="7"/>
        <v>0</v>
      </c>
      <c r="H97" s="920"/>
      <c r="K97" s="10"/>
    </row>
    <row r="98" spans="2:11">
      <c r="B98" s="20" t="s">
        <v>201</v>
      </c>
      <c r="C98" s="106" t="s">
        <v>72</v>
      </c>
      <c r="D98" s="919">
        <f>'A6a. Operations-Site 1'!D97+'A6b. Operations-Site 2'!D97+'A6c. Operations-Site 3'!D97+'A6d. Operations-Site 4'!D97+'A6e. Operations-Site 5'!D97</f>
        <v>0</v>
      </c>
      <c r="E98" s="919">
        <f>'A6a. Operations-Site 1'!E97+'A6b. Operations-Site 2'!E97+'A6c. Operations-Site 3'!E97+'A6d. Operations-Site 4'!E97+'A6e. Operations-Site 5'!E97</f>
        <v>0</v>
      </c>
      <c r="F98" s="485">
        <f t="shared" si="7"/>
        <v>0</v>
      </c>
      <c r="H98" s="920"/>
      <c r="K98" s="10"/>
    </row>
    <row r="99" spans="2:11">
      <c r="B99" s="20" t="s">
        <v>468</v>
      </c>
      <c r="C99" s="106" t="s">
        <v>410</v>
      </c>
      <c r="D99" s="919">
        <f>'A6a. Operations-Site 1'!D98+'A6b. Operations-Site 2'!D98+'A6c. Operations-Site 3'!D98+'A6d. Operations-Site 4'!D98+'A6e. Operations-Site 5'!D98</f>
        <v>0</v>
      </c>
      <c r="E99" s="919">
        <f>'A6a. Operations-Site 1'!E98+'A6b. Operations-Site 2'!E98+'A6c. Operations-Site 3'!E98+'A6d. Operations-Site 4'!E98+'A6e. Operations-Site 5'!E98</f>
        <v>0</v>
      </c>
      <c r="F99" s="485">
        <f>+D99-E99</f>
        <v>0</v>
      </c>
      <c r="H99" s="920"/>
      <c r="K99" s="10"/>
    </row>
    <row r="100" spans="2:11" s="12" customFormat="1">
      <c r="B100" s="20" t="s">
        <v>177</v>
      </c>
      <c r="C100" s="106" t="s">
        <v>86</v>
      </c>
      <c r="D100" s="919">
        <f>'A6a. Operations-Site 1'!D99+'A6b. Operations-Site 2'!D99+'A6c. Operations-Site 3'!D99+'A6d. Operations-Site 4'!D99+'A6e. Operations-Site 5'!D99</f>
        <v>0</v>
      </c>
      <c r="E100" s="919">
        <f>'A6a. Operations-Site 1'!E99+'A6b. Operations-Site 2'!E99+'A6c. Operations-Site 3'!E99+'A6d. Operations-Site 4'!E99+'A6e. Operations-Site 5'!E99</f>
        <v>0</v>
      </c>
      <c r="F100" s="485">
        <f t="shared" si="7"/>
        <v>0</v>
      </c>
      <c r="G100" s="9"/>
      <c r="H100" s="920"/>
      <c r="K100" s="10"/>
    </row>
    <row r="101" spans="2:11" s="12" customFormat="1">
      <c r="B101" s="20" t="s">
        <v>177</v>
      </c>
      <c r="C101" s="106" t="s">
        <v>854</v>
      </c>
      <c r="D101" s="919">
        <f>'A6a. Operations-Site 1'!D100+'A6b. Operations-Site 2'!D100+'A6c. Operations-Site 3'!D100+'A6d. Operations-Site 4'!D100+'A6e. Operations-Site 5'!D100</f>
        <v>0</v>
      </c>
      <c r="E101" s="919">
        <f>'A6a. Operations-Site 1'!E100+'A6b. Operations-Site 2'!E100+'A6c. Operations-Site 3'!E100+'A6d. Operations-Site 4'!E100+'A6e. Operations-Site 5'!E100</f>
        <v>0</v>
      </c>
      <c r="F101" s="485">
        <f t="shared" ref="F101" si="8">+D101-E101</f>
        <v>0</v>
      </c>
      <c r="G101" s="9"/>
      <c r="H101" s="920"/>
      <c r="K101" s="10"/>
    </row>
    <row r="102" spans="2:11" ht="16" thickBot="1">
      <c r="B102" s="499" t="s">
        <v>177</v>
      </c>
      <c r="C102" s="107" t="s">
        <v>853</v>
      </c>
      <c r="D102" s="919">
        <f>'A6a. Operations-Site 1'!D101+'A6b. Operations-Site 2'!D101+'A6c. Operations-Site 3'!D101+'A6d. Operations-Site 4'!D101+'A6e. Operations-Site 5'!D101</f>
        <v>0</v>
      </c>
      <c r="E102" s="919">
        <f>'A6a. Operations-Site 1'!E101+'A6b. Operations-Site 2'!E101+'A6c. Operations-Site 3'!E101+'A6d. Operations-Site 4'!E101+'A6e. Operations-Site 5'!E101</f>
        <v>0</v>
      </c>
      <c r="F102" s="487">
        <f t="shared" si="7"/>
        <v>0</v>
      </c>
      <c r="H102" s="920"/>
      <c r="K102" s="10"/>
    </row>
    <row r="103" spans="2:11" ht="16" thickBot="1">
      <c r="G103" s="12"/>
      <c r="H103" s="491"/>
      <c r="K103" s="10"/>
    </row>
    <row r="104" spans="2:11" s="12" customFormat="1" ht="16" thickBot="1">
      <c r="B104" s="492" t="s">
        <v>139</v>
      </c>
      <c r="C104" s="105">
        <v>461</v>
      </c>
      <c r="D104" s="484">
        <f>SUM(D105:D109)</f>
        <v>0</v>
      </c>
      <c r="E104" s="484">
        <f>SUM(E105:E109)</f>
        <v>0</v>
      </c>
      <c r="F104" s="484">
        <f>SUM(F105:F109)</f>
        <v>0</v>
      </c>
      <c r="H104" s="491"/>
      <c r="K104" s="10"/>
    </row>
    <row r="105" spans="2:11" s="12" customFormat="1" hidden="1">
      <c r="B105" s="26" t="s">
        <v>202</v>
      </c>
      <c r="C105" s="106" t="s">
        <v>73</v>
      </c>
      <c r="D105" s="547"/>
      <c r="E105" s="548"/>
      <c r="F105" s="545">
        <f>+D105-E105</f>
        <v>0</v>
      </c>
      <c r="H105" s="920"/>
      <c r="K105" s="10"/>
    </row>
    <row r="106" spans="2:11" s="12" customFormat="1">
      <c r="B106" s="26" t="s">
        <v>203</v>
      </c>
      <c r="C106" s="106" t="s">
        <v>74</v>
      </c>
      <c r="D106" s="919">
        <f>'A6a. Operations-Site 1'!D105+'A6b. Operations-Site 2'!D105+'A6c. Operations-Site 3'!D105+'A6d. Operations-Site 4'!D105+'A6e. Operations-Site 5'!D105</f>
        <v>0</v>
      </c>
      <c r="E106" s="919">
        <f>'A6a. Operations-Site 1'!E105+'A6b. Operations-Site 2'!E105+'A6c. Operations-Site 3'!E105+'A6d. Operations-Site 4'!E105+'A6e. Operations-Site 5'!E105</f>
        <v>0</v>
      </c>
      <c r="F106" s="485">
        <f>+D106-E106</f>
        <v>0</v>
      </c>
      <c r="H106" s="920"/>
      <c r="K106" s="10"/>
    </row>
    <row r="107" spans="2:11" s="12" customFormat="1">
      <c r="B107" s="26" t="s">
        <v>204</v>
      </c>
      <c r="C107" s="106" t="s">
        <v>75</v>
      </c>
      <c r="D107" s="919">
        <f>'A6a. Operations-Site 1'!D106+'A6b. Operations-Site 2'!D106+'A6c. Operations-Site 3'!D106+'A6d. Operations-Site 4'!D106+'A6e. Operations-Site 5'!D106</f>
        <v>0</v>
      </c>
      <c r="E107" s="919">
        <f>'A6a. Operations-Site 1'!E106+'A6b. Operations-Site 2'!E106+'A6c. Operations-Site 3'!E106+'A6d. Operations-Site 4'!E106+'A6e. Operations-Site 5'!E106</f>
        <v>0</v>
      </c>
      <c r="F107" s="485">
        <f>+D107-E107</f>
        <v>0</v>
      </c>
      <c r="H107" s="920"/>
      <c r="K107" s="10"/>
    </row>
    <row r="108" spans="2:11" s="12" customFormat="1">
      <c r="B108" s="26" t="s">
        <v>205</v>
      </c>
      <c r="C108" s="106" t="s">
        <v>411</v>
      </c>
      <c r="D108" s="919">
        <f>'A6a. Operations-Site 1'!D107+'A6b. Operations-Site 2'!D107+'A6c. Operations-Site 3'!D107+'A6d. Operations-Site 4'!D107+'A6e. Operations-Site 5'!D107</f>
        <v>0</v>
      </c>
      <c r="E108" s="919">
        <f>'A6a. Operations-Site 1'!E107+'A6b. Operations-Site 2'!E107+'A6c. Operations-Site 3'!E107+'A6d. Operations-Site 4'!E107+'A6e. Operations-Site 5'!E107</f>
        <v>0</v>
      </c>
      <c r="F108" s="485">
        <f>+D108-E108</f>
        <v>0</v>
      </c>
      <c r="H108" s="920"/>
      <c r="K108" s="10"/>
    </row>
    <row r="109" spans="2:11" s="12" customFormat="1" ht="16" thickBot="1">
      <c r="B109" s="499" t="s">
        <v>177</v>
      </c>
      <c r="C109" s="107" t="s">
        <v>412</v>
      </c>
      <c r="D109" s="919">
        <f>'A6a. Operations-Site 1'!D108+'A6b. Operations-Site 2'!D108+'A6c. Operations-Site 3'!D108+'A6d. Operations-Site 4'!D108+'A6e. Operations-Site 5'!D108</f>
        <v>0</v>
      </c>
      <c r="E109" s="919">
        <f>'A6a. Operations-Site 1'!E108+'A6b. Operations-Site 2'!E108+'A6c. Operations-Site 3'!E108+'A6d. Operations-Site 4'!E108+'A6e. Operations-Site 5'!E108</f>
        <v>0</v>
      </c>
      <c r="F109" s="487">
        <f>+D109-E109</f>
        <v>0</v>
      </c>
      <c r="H109" s="920"/>
      <c r="K109" s="10"/>
    </row>
    <row r="110" spans="2:11" ht="16" thickBot="1">
      <c r="C110" s="12"/>
      <c r="D110" s="12"/>
      <c r="E110" s="498"/>
      <c r="F110" s="498"/>
      <c r="G110" s="12"/>
      <c r="H110" s="884"/>
    </row>
    <row r="111" spans="2:11" ht="16" thickBot="1">
      <c r="B111" s="492" t="s">
        <v>459</v>
      </c>
      <c r="C111" s="105">
        <v>465</v>
      </c>
      <c r="D111" s="484">
        <f>SUM(D112)</f>
        <v>0</v>
      </c>
      <c r="E111" s="484">
        <f>SUM(E112)</f>
        <v>0</v>
      </c>
      <c r="F111" s="484">
        <f>SUM(F112)</f>
        <v>0</v>
      </c>
    </row>
    <row r="112" spans="2:11" ht="16" thickBot="1">
      <c r="B112" s="499" t="s">
        <v>354</v>
      </c>
      <c r="C112" s="500" t="s">
        <v>861</v>
      </c>
      <c r="D112" s="549">
        <f>'A3. Peel Region Grants'!C117</f>
        <v>0</v>
      </c>
      <c r="E112" s="550">
        <f>D112-('A3. Peel Region Grants'!C117*'A3. Peel Region Grants'!I108)</f>
        <v>0</v>
      </c>
      <c r="F112" s="551">
        <f>D112-E112</f>
        <v>0</v>
      </c>
      <c r="H112" s="555" t="s">
        <v>881</v>
      </c>
      <c r="I112" s="14"/>
      <c r="J112" s="14"/>
      <c r="K112" s="14"/>
    </row>
    <row r="113" spans="2:8" ht="16" thickBot="1">
      <c r="C113" s="12"/>
      <c r="D113" s="12"/>
      <c r="E113" s="498"/>
      <c r="F113" s="498"/>
      <c r="G113" s="12"/>
      <c r="H113" s="10"/>
    </row>
    <row r="114" spans="2:8" s="12" customFormat="1" ht="16" thickBot="1">
      <c r="B114" s="501" t="s">
        <v>76</v>
      </c>
      <c r="C114" s="105">
        <v>471</v>
      </c>
      <c r="D114" s="484">
        <f>SUM(D115:D117)</f>
        <v>0</v>
      </c>
      <c r="E114" s="484">
        <f>SUM(E115:E117)</f>
        <v>0</v>
      </c>
      <c r="F114" s="484"/>
      <c r="H114" s="9"/>
    </row>
    <row r="115" spans="2:8" s="12" customFormat="1">
      <c r="B115" s="497" t="s">
        <v>44</v>
      </c>
      <c r="C115" s="106" t="s">
        <v>413</v>
      </c>
      <c r="D115" s="919">
        <f>'A6a. Operations-Site 1'!D114+'A6b. Operations-Site 2'!D114+'A6c. Operations-Site 3'!D114+'A6d. Operations-Site 4'!D114+'A6e. Operations-Site 5'!D114</f>
        <v>0</v>
      </c>
      <c r="E115" s="552">
        <f>D115</f>
        <v>0</v>
      </c>
      <c r="F115" s="553"/>
      <c r="H115" s="9"/>
    </row>
    <row r="116" spans="2:8" s="12" customFormat="1">
      <c r="B116" s="497" t="s">
        <v>44</v>
      </c>
      <c r="C116" s="106" t="s">
        <v>414</v>
      </c>
      <c r="D116" s="919">
        <f>'A6a. Operations-Site 1'!D115+'A6b. Operations-Site 2'!D115+'A6c. Operations-Site 3'!D115+'A6d. Operations-Site 4'!D115+'A6e. Operations-Site 5'!D115</f>
        <v>0</v>
      </c>
      <c r="E116" s="468">
        <f>D116</f>
        <v>0</v>
      </c>
      <c r="F116" s="466"/>
      <c r="H116" s="9"/>
    </row>
    <row r="117" spans="2:8" s="12" customFormat="1" ht="16" thickBot="1">
      <c r="B117" s="923" t="s">
        <v>44</v>
      </c>
      <c r="C117" s="107" t="s">
        <v>415</v>
      </c>
      <c r="D117" s="919">
        <f>'A6a. Operations-Site 1'!D116+'A6b. Operations-Site 2'!D116+'A6c. Operations-Site 3'!D116+'A6d. Operations-Site 4'!D116+'A6e. Operations-Site 5'!D116</f>
        <v>0</v>
      </c>
      <c r="E117" s="502">
        <f>D117</f>
        <v>0</v>
      </c>
      <c r="F117" s="503"/>
      <c r="H117" s="10"/>
    </row>
    <row r="118" spans="2:8" s="12" customFormat="1" ht="16" thickBot="1">
      <c r="B118" s="9"/>
      <c r="C118" s="9"/>
      <c r="D118" s="9"/>
      <c r="E118" s="9"/>
      <c r="F118" s="9"/>
      <c r="H118" s="9"/>
    </row>
    <row r="119" spans="2:8" s="12" customFormat="1" ht="16" thickBot="1">
      <c r="B119" s="501" t="s">
        <v>810</v>
      </c>
      <c r="C119" s="105">
        <v>481</v>
      </c>
      <c r="D119" s="484">
        <f>SUM(D120:D122)</f>
        <v>0</v>
      </c>
      <c r="E119" s="484">
        <f>SUM(E120:E122)</f>
        <v>0</v>
      </c>
      <c r="F119" s="484"/>
      <c r="H119" s="9"/>
    </row>
    <row r="120" spans="2:8" s="12" customFormat="1">
      <c r="B120" s="497" t="s">
        <v>44</v>
      </c>
      <c r="C120" s="106" t="s">
        <v>416</v>
      </c>
      <c r="D120" s="919">
        <f>'A6a. Operations-Site 1'!D119+'A6b. Operations-Site 2'!D119+'A6c. Operations-Site 3'!D119+'A6d. Operations-Site 4'!D119+'A6e. Operations-Site 5'!D119</f>
        <v>0</v>
      </c>
      <c r="E120" s="552">
        <f>D120</f>
        <v>0</v>
      </c>
      <c r="F120" s="553"/>
      <c r="H120" s="9"/>
    </row>
    <row r="121" spans="2:8" s="12" customFormat="1">
      <c r="B121" s="497" t="s">
        <v>44</v>
      </c>
      <c r="C121" s="106" t="s">
        <v>417</v>
      </c>
      <c r="D121" s="919">
        <f>'A6a. Operations-Site 1'!D120+'A6b. Operations-Site 2'!D120+'A6c. Operations-Site 3'!D120+'A6d. Operations-Site 4'!D120+'A6e. Operations-Site 5'!D120</f>
        <v>0</v>
      </c>
      <c r="E121" s="468">
        <f>D121</f>
        <v>0</v>
      </c>
      <c r="F121" s="466"/>
      <c r="H121" s="9"/>
    </row>
    <row r="122" spans="2:8" s="12" customFormat="1" ht="16" thickBot="1">
      <c r="B122" s="923" t="s">
        <v>44</v>
      </c>
      <c r="C122" s="107" t="s">
        <v>418</v>
      </c>
      <c r="D122" s="919">
        <f>'A6a. Operations-Site 1'!D121+'A6b. Operations-Site 2'!D121+'A6c. Operations-Site 3'!D121+'A6d. Operations-Site 4'!D121+'A6e. Operations-Site 5'!D121</f>
        <v>0</v>
      </c>
      <c r="E122" s="502">
        <f>D122</f>
        <v>0</v>
      </c>
      <c r="F122" s="503"/>
      <c r="H122" s="9"/>
    </row>
    <row r="123" spans="2:8" s="12" customFormat="1" ht="16" thickBot="1">
      <c r="B123" s="9"/>
      <c r="C123" s="9"/>
      <c r="D123" s="9"/>
      <c r="E123" s="9"/>
      <c r="F123" s="9"/>
      <c r="H123" s="9"/>
    </row>
    <row r="124" spans="2:8" ht="16" thickBot="1">
      <c r="B124" s="504" t="s">
        <v>206</v>
      </c>
      <c r="C124" s="505">
        <v>490</v>
      </c>
      <c r="D124" s="506">
        <f>+D81+D72+D63+D36+D77+D114+D119+D111+D104</f>
        <v>0</v>
      </c>
      <c r="E124" s="506">
        <f>+E81+E72+E63+E36+E77+E114+E119+E111+E104</f>
        <v>0</v>
      </c>
      <c r="F124" s="507">
        <f>+F81+F72+F63+F36+F77+F111+F104</f>
        <v>0</v>
      </c>
      <c r="H124" s="77"/>
    </row>
    <row r="125" spans="2:8" ht="16" thickBot="1"/>
    <row r="126" spans="2:8" ht="16" thickBot="1">
      <c r="B126" s="504" t="s">
        <v>207</v>
      </c>
      <c r="C126" s="508" t="s">
        <v>167</v>
      </c>
      <c r="D126" s="509">
        <f>+D31-D124</f>
        <v>0</v>
      </c>
      <c r="E126" s="509">
        <f>+E31-E124</f>
        <v>0</v>
      </c>
      <c r="F126" s="510">
        <f>+F31-F124</f>
        <v>0</v>
      </c>
      <c r="H126" s="12"/>
    </row>
    <row r="127" spans="2:8">
      <c r="B127" s="511"/>
      <c r="D127" s="512"/>
      <c r="E127" s="512"/>
      <c r="F127" s="512"/>
      <c r="H127" s="12"/>
    </row>
    <row r="128" spans="2:8">
      <c r="H128" s="12"/>
    </row>
    <row r="129" spans="2:13">
      <c r="H129" s="12"/>
    </row>
    <row r="130" spans="2:13">
      <c r="E130" s="513"/>
    </row>
    <row r="131" spans="2:13">
      <c r="D131" s="10"/>
      <c r="E131" s="10"/>
    </row>
    <row r="132" spans="2:13">
      <c r="B132" s="525" t="s">
        <v>305</v>
      </c>
      <c r="D132" s="924"/>
      <c r="E132" s="18"/>
    </row>
    <row r="133" spans="2:13">
      <c r="B133" s="525" t="s">
        <v>307</v>
      </c>
      <c r="E133" s="925"/>
      <c r="F133" s="14"/>
      <c r="G133" s="14"/>
      <c r="H133" s="14"/>
    </row>
    <row r="134" spans="2:13">
      <c r="B134" s="525" t="s">
        <v>308</v>
      </c>
      <c r="F134" s="14"/>
      <c r="G134" s="14"/>
      <c r="H134" s="14"/>
    </row>
    <row r="135" spans="2:13" ht="30">
      <c r="B135" s="525" t="s">
        <v>334</v>
      </c>
      <c r="F135" s="14"/>
      <c r="G135" s="514"/>
      <c r="H135" s="515"/>
      <c r="I135" s="514"/>
      <c r="J135" s="514"/>
      <c r="K135" s="516"/>
      <c r="L135" s="14"/>
      <c r="M135" s="14"/>
    </row>
    <row r="136" spans="2:13" ht="29.5">
      <c r="B136" s="525" t="s">
        <v>91</v>
      </c>
      <c r="F136" s="14"/>
      <c r="G136" s="517"/>
      <c r="H136" s="518"/>
      <c r="I136" s="517"/>
      <c r="J136" s="517"/>
      <c r="K136" s="519"/>
      <c r="L136" s="14"/>
      <c r="M136" s="14"/>
    </row>
    <row r="137" spans="2:13" ht="29.5">
      <c r="B137" s="525"/>
      <c r="F137" s="14"/>
      <c r="G137" s="517"/>
      <c r="H137" s="518"/>
      <c r="I137" s="517"/>
      <c r="J137" s="517"/>
      <c r="K137" s="519"/>
      <c r="L137" s="14"/>
      <c r="M137" s="14"/>
    </row>
    <row r="138" spans="2:13" ht="29.5">
      <c r="B138" s="525" t="s">
        <v>309</v>
      </c>
      <c r="F138" s="14"/>
      <c r="G138" s="517"/>
      <c r="H138" s="518"/>
      <c r="I138" s="517"/>
      <c r="J138" s="517"/>
      <c r="K138" s="519"/>
      <c r="L138" s="14"/>
      <c r="M138" s="14"/>
    </row>
    <row r="139" spans="2:13" ht="29.5">
      <c r="B139" s="525" t="s">
        <v>310</v>
      </c>
      <c r="F139" s="14"/>
      <c r="G139" s="517"/>
      <c r="H139" s="518"/>
      <c r="I139" s="517"/>
      <c r="J139" s="517"/>
      <c r="K139" s="519"/>
      <c r="L139" s="14"/>
      <c r="M139" s="14"/>
    </row>
    <row r="140" spans="2:13" ht="29.5">
      <c r="B140" s="525" t="s">
        <v>311</v>
      </c>
      <c r="F140" s="14"/>
      <c r="G140" s="517"/>
      <c r="H140" s="518"/>
      <c r="I140" s="517"/>
      <c r="J140" s="517"/>
      <c r="K140" s="519"/>
      <c r="L140" s="14"/>
      <c r="M140" s="14"/>
    </row>
    <row r="141" spans="2:13" ht="29.5">
      <c r="B141" s="525"/>
      <c r="F141" s="14"/>
      <c r="G141" s="517"/>
      <c r="H141" s="518"/>
      <c r="I141" s="517"/>
      <c r="J141" s="517"/>
      <c r="K141" s="519"/>
      <c r="L141" s="14"/>
      <c r="M141" s="14"/>
    </row>
    <row r="142" spans="2:13" ht="29.5">
      <c r="B142" s="525" t="s">
        <v>398</v>
      </c>
      <c r="F142" s="14"/>
      <c r="G142" s="517"/>
      <c r="H142" s="518"/>
      <c r="I142" s="517"/>
      <c r="J142" s="517"/>
      <c r="K142" s="519"/>
      <c r="L142" s="14"/>
      <c r="M142" s="14"/>
    </row>
    <row r="143" spans="2:13" ht="29.5">
      <c r="B143" s="525" t="s">
        <v>400</v>
      </c>
      <c r="F143" s="14"/>
      <c r="G143" s="517"/>
      <c r="H143" s="518"/>
      <c r="I143" s="517"/>
      <c r="J143" s="517"/>
      <c r="K143" s="519"/>
      <c r="L143" s="14"/>
      <c r="M143" s="14"/>
    </row>
    <row r="144" spans="2:13" ht="29.5">
      <c r="B144" s="525" t="s">
        <v>399</v>
      </c>
      <c r="F144" s="14"/>
      <c r="G144" s="517"/>
      <c r="H144" s="518"/>
      <c r="I144" s="517"/>
      <c r="J144" s="517"/>
      <c r="K144" s="519"/>
      <c r="L144" s="14"/>
      <c r="M144" s="14"/>
    </row>
    <row r="145" spans="2:13" ht="29.5">
      <c r="B145" s="525" t="s">
        <v>91</v>
      </c>
      <c r="F145" s="14"/>
      <c r="G145" s="517"/>
      <c r="H145" s="518"/>
      <c r="I145" s="517"/>
      <c r="J145" s="517"/>
      <c r="K145" s="519"/>
      <c r="L145" s="14"/>
      <c r="M145" s="14"/>
    </row>
    <row r="146" spans="2:13" ht="29.5">
      <c r="F146" s="14"/>
      <c r="G146" s="517"/>
      <c r="H146" s="518"/>
      <c r="I146" s="517"/>
      <c r="J146" s="517"/>
      <c r="K146" s="519"/>
      <c r="L146" s="14"/>
      <c r="M146" s="14"/>
    </row>
    <row r="147" spans="2:13" ht="29.5">
      <c r="B147" s="525" t="s">
        <v>130</v>
      </c>
      <c r="F147" s="14"/>
      <c r="G147" s="517"/>
      <c r="H147" s="518"/>
      <c r="I147" s="517"/>
      <c r="J147" s="517"/>
      <c r="K147" s="519"/>
      <c r="L147" s="14"/>
      <c r="M147" s="14"/>
    </row>
    <row r="148" spans="2:13" ht="29.5">
      <c r="B148" s="525" t="s">
        <v>115</v>
      </c>
      <c r="F148" s="14"/>
      <c r="G148" s="517"/>
      <c r="H148" s="518"/>
      <c r="I148" s="517"/>
      <c r="J148" s="517"/>
      <c r="K148" s="519"/>
      <c r="L148" s="14"/>
      <c r="M148" s="14"/>
    </row>
    <row r="149" spans="2:13" ht="29.5">
      <c r="B149" s="525"/>
      <c r="F149" s="14"/>
      <c r="G149" s="517"/>
      <c r="H149" s="518"/>
      <c r="I149" s="517"/>
      <c r="J149" s="517"/>
      <c r="K149" s="519"/>
      <c r="L149" s="14"/>
      <c r="M149" s="14"/>
    </row>
    <row r="150" spans="2:13" ht="29.5">
      <c r="F150" s="14"/>
      <c r="G150" s="517"/>
      <c r="H150" s="518"/>
      <c r="I150" s="517"/>
      <c r="J150" s="517"/>
      <c r="K150" s="519"/>
      <c r="L150" s="14"/>
      <c r="M150" s="14"/>
    </row>
    <row r="151" spans="2:13" ht="29.5">
      <c r="F151" s="14"/>
      <c r="G151" s="517"/>
      <c r="H151" s="518"/>
      <c r="I151" s="517"/>
      <c r="J151" s="517"/>
      <c r="K151" s="519"/>
      <c r="L151" s="14"/>
      <c r="M151" s="14"/>
    </row>
    <row r="152" spans="2:13" ht="29.5">
      <c r="F152" s="14"/>
      <c r="G152" s="517"/>
      <c r="H152" s="518"/>
      <c r="I152" s="517"/>
      <c r="J152" s="517"/>
      <c r="K152" s="519"/>
      <c r="L152" s="14"/>
      <c r="M152" s="14"/>
    </row>
    <row r="153" spans="2:13" ht="29.5">
      <c r="F153" s="14"/>
      <c r="G153" s="517"/>
      <c r="H153" s="518"/>
      <c r="I153" s="517"/>
      <c r="J153" s="517"/>
      <c r="K153" s="519"/>
      <c r="L153" s="14"/>
      <c r="M153" s="14"/>
    </row>
    <row r="154" spans="2:13" ht="29.5">
      <c r="F154" s="14"/>
      <c r="G154" s="517"/>
      <c r="H154" s="518"/>
      <c r="I154" s="517"/>
      <c r="J154" s="517"/>
      <c r="K154" s="519"/>
      <c r="L154" s="14"/>
      <c r="M154" s="14"/>
    </row>
    <row r="155" spans="2:13" ht="29.5">
      <c r="F155" s="14"/>
      <c r="G155" s="517"/>
      <c r="H155" s="518"/>
      <c r="I155" s="517"/>
      <c r="J155" s="517"/>
      <c r="K155" s="520"/>
      <c r="L155" s="14"/>
      <c r="M155" s="14"/>
    </row>
    <row r="156" spans="2:13">
      <c r="F156" s="14"/>
      <c r="G156" s="14"/>
      <c r="H156" s="14"/>
      <c r="I156" s="14"/>
      <c r="J156" s="14"/>
      <c r="K156" s="14"/>
      <c r="L156" s="14"/>
      <c r="M156" s="14"/>
    </row>
    <row r="157" spans="2:13">
      <c r="F157" s="14"/>
      <c r="G157" s="14"/>
      <c r="H157" s="14"/>
      <c r="I157" s="14"/>
      <c r="J157" s="14"/>
      <c r="K157" s="14"/>
      <c r="L157" s="14"/>
      <c r="M157" s="14"/>
    </row>
    <row r="158" spans="2:13">
      <c r="F158" s="14"/>
      <c r="G158" s="14"/>
      <c r="H158" s="14"/>
      <c r="I158" s="14"/>
      <c r="J158" s="14"/>
      <c r="K158" s="14"/>
      <c r="L158" s="14"/>
      <c r="M158" s="14"/>
    </row>
    <row r="159" spans="2:13">
      <c r="F159" s="14"/>
      <c r="G159" s="14"/>
      <c r="H159" s="14"/>
    </row>
    <row r="160" spans="2:13">
      <c r="F160" s="14"/>
      <c r="G160" s="14"/>
      <c r="H160" s="14"/>
    </row>
    <row r="161" spans="4:8">
      <c r="F161" s="14"/>
      <c r="G161" s="14"/>
      <c r="H161" s="14"/>
    </row>
    <row r="162" spans="4:8">
      <c r="F162" s="14"/>
      <c r="G162" s="14"/>
      <c r="H162" s="14"/>
    </row>
    <row r="163" spans="4:8">
      <c r="F163" s="14"/>
      <c r="G163" s="14"/>
      <c r="H163" s="14"/>
    </row>
    <row r="164" spans="4:8">
      <c r="F164" s="14"/>
      <c r="G164" s="14"/>
      <c r="H164" s="14"/>
    </row>
    <row r="165" spans="4:8">
      <c r="F165" s="14"/>
      <c r="G165" s="14"/>
      <c r="H165" s="14"/>
    </row>
    <row r="166" spans="4:8">
      <c r="F166" s="14"/>
      <c r="G166" s="14"/>
      <c r="H166" s="14"/>
    </row>
    <row r="167" spans="4:8">
      <c r="D167" s="926"/>
      <c r="E167" s="926"/>
      <c r="F167" s="521"/>
      <c r="G167" s="14"/>
      <c r="H167" s="14"/>
    </row>
    <row r="168" spans="4:8">
      <c r="F168" s="14"/>
      <c r="G168" s="14"/>
      <c r="H168" s="14"/>
    </row>
    <row r="169" spans="4:8">
      <c r="F169" s="14"/>
      <c r="G169" s="14"/>
      <c r="H169" s="14"/>
    </row>
    <row r="170" spans="4:8">
      <c r="F170" s="14"/>
      <c r="G170" s="14"/>
      <c r="H170" s="14"/>
    </row>
    <row r="171" spans="4:8">
      <c r="F171" s="14"/>
      <c r="G171" s="14"/>
      <c r="H171" s="14"/>
    </row>
    <row r="172" spans="4:8">
      <c r="F172" s="14"/>
      <c r="G172" s="14"/>
      <c r="H172" s="14"/>
    </row>
    <row r="173" spans="4:8">
      <c r="F173" s="14"/>
      <c r="G173" s="14"/>
      <c r="H173" s="14"/>
    </row>
    <row r="174" spans="4:8">
      <c r="F174" s="14"/>
      <c r="G174" s="14"/>
      <c r="H174" s="14"/>
    </row>
    <row r="175" spans="4:8">
      <c r="F175" s="14"/>
      <c r="G175" s="14"/>
      <c r="H175" s="14"/>
    </row>
    <row r="176" spans="4:8">
      <c r="F176" s="14"/>
      <c r="G176" s="14"/>
      <c r="H176" s="14"/>
    </row>
    <row r="177" spans="6:8">
      <c r="F177" s="14"/>
      <c r="G177" s="14"/>
      <c r="H177" s="14"/>
    </row>
    <row r="178" spans="6:8">
      <c r="F178" s="14"/>
      <c r="G178" s="14"/>
      <c r="H178" s="14"/>
    </row>
    <row r="179" spans="6:8">
      <c r="F179" s="14"/>
      <c r="G179" s="14"/>
      <c r="H179" s="14"/>
    </row>
    <row r="180" spans="6:8">
      <c r="F180" s="14"/>
      <c r="G180" s="14"/>
      <c r="H180" s="14"/>
    </row>
    <row r="181" spans="6:8">
      <c r="F181" s="14"/>
      <c r="G181" s="14"/>
      <c r="H181" s="14"/>
    </row>
    <row r="182" spans="6:8">
      <c r="F182" s="14"/>
      <c r="G182" s="14"/>
      <c r="H182" s="14"/>
    </row>
    <row r="183" spans="6:8">
      <c r="F183" s="14"/>
      <c r="G183" s="14"/>
      <c r="H183" s="14"/>
    </row>
    <row r="184" spans="6:8">
      <c r="F184" s="14"/>
      <c r="G184" s="14"/>
      <c r="H184" s="14"/>
    </row>
    <row r="185" spans="6:8">
      <c r="F185" s="14"/>
      <c r="G185" s="14"/>
      <c r="H185" s="14"/>
    </row>
    <row r="186" spans="6:8">
      <c r="F186" s="14"/>
      <c r="G186" s="14"/>
      <c r="H186" s="14"/>
    </row>
    <row r="187" spans="6:8">
      <c r="F187" s="14"/>
      <c r="G187" s="14"/>
      <c r="H187" s="14"/>
    </row>
    <row r="188" spans="6:8">
      <c r="F188" s="14"/>
      <c r="G188" s="14"/>
      <c r="H188" s="14"/>
    </row>
    <row r="189" spans="6:8">
      <c r="F189" s="14"/>
      <c r="G189" s="14"/>
      <c r="H189" s="14"/>
    </row>
    <row r="190" spans="6:8">
      <c r="F190" s="14"/>
      <c r="G190" s="14"/>
      <c r="H190" s="14"/>
    </row>
    <row r="191" spans="6:8">
      <c r="F191" s="14"/>
      <c r="G191" s="14"/>
      <c r="H191" s="14"/>
    </row>
    <row r="192" spans="6:8">
      <c r="F192" s="14"/>
      <c r="G192" s="14"/>
      <c r="H192" s="14"/>
    </row>
    <row r="193" spans="6:8">
      <c r="F193" s="14"/>
      <c r="G193" s="14"/>
      <c r="H193" s="14"/>
    </row>
    <row r="194" spans="6:8">
      <c r="F194" s="14"/>
      <c r="G194" s="14"/>
      <c r="H194" s="14"/>
    </row>
    <row r="195" spans="6:8">
      <c r="F195" s="14"/>
      <c r="G195" s="14"/>
      <c r="H195" s="14"/>
    </row>
  </sheetData>
  <sheetProtection algorithmName="SHA-512" hashValue="SywD3P74mU3POpQ0+cVtUh+xuqg3K9N2XZnQCq9qE9F8NyLTB2Nw7Ig5FUT1yB4KCtXY/xRLSRmaM/CL4L2C2g==" saltValue="AXIuojQlb8cS3auRUxdXcw==" spinCount="100000" sheet="1" objects="1" scenarios="1"/>
  <protectedRanges>
    <protectedRange sqref="B79 B75 B70 B61 F80 F73:F76 D110:F110 F120:F122 E35:F35 E123:F123 F115:F118 F105:F109 B109:B110 F25:F30 F19:F22 B100:B102 F82:F103 D38:F61 D64:F70 D73:E75 D78:F79 D82:E102 D106:E109 D115:D117 D120:D123" name="allow"/>
    <protectedRange sqref="B29:B30" name="allow_1"/>
    <protectedRange sqref="D19:E20" name="allow_5"/>
    <protectedRange sqref="D25:D27 E25:E28 F23:F24 D21:E24 D29:E30" name="allow_5_1"/>
  </protectedRanges>
  <dataConsolidate/>
  <mergeCells count="8">
    <mergeCell ref="B1:G1"/>
    <mergeCell ref="B2:F2"/>
    <mergeCell ref="B3:F3"/>
    <mergeCell ref="B4:G4"/>
    <mergeCell ref="H35:H36"/>
    <mergeCell ref="E16:F16"/>
    <mergeCell ref="H19:H20"/>
    <mergeCell ref="H10:I13"/>
  </mergeCells>
  <conditionalFormatting sqref="F8:F15 E16">
    <cfRule type="cellIs" dxfId="23" priority="2" operator="notEqual">
      <formula>""</formula>
    </cfRule>
  </conditionalFormatting>
  <conditionalFormatting sqref="G19">
    <cfRule type="expression" priority="10">
      <formula>"if($D$17&gt;1 and $E$17 = 0,""red"",blue"")"</formula>
    </cfRule>
  </conditionalFormatting>
  <conditionalFormatting sqref="G39:G45 G47:G53 G55:G61">
    <cfRule type="expression" dxfId="22" priority="5">
      <formula>AND(ISNUMBER(D39), E39="")</formula>
    </cfRule>
  </conditionalFormatting>
  <conditionalFormatting sqref="G64:G70">
    <cfRule type="expression" dxfId="21" priority="4">
      <formula>AND(ISNUMBER(D64), E64="")</formula>
    </cfRule>
  </conditionalFormatting>
  <conditionalFormatting sqref="H14:H16">
    <cfRule type="cellIs" dxfId="20" priority="1" operator="notEqual">
      <formula>""</formula>
    </cfRule>
  </conditionalFormatting>
  <dataValidations count="6">
    <dataValidation type="decimal" allowBlank="1" showInputMessage="1" showErrorMessage="1" sqref="F55:F61 F39:F45 F47:F53" xr:uid="{960B4D67-9061-4248-B08C-F1A700A500EF}">
      <formula1>0</formula1>
      <formula2>1000000000000000000</formula2>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2" xr:uid="{2EBE62D0-EFAC-4555-81E7-F9E5FCD7B349}">
      <formula1>0</formula1>
      <formula2>365</formula2>
    </dataValidation>
    <dataValidation type="list" allowBlank="1" showInputMessage="1" showErrorMessage="1" sqref="E16" xr:uid="{6A3B147E-92F2-4715-A4EE-06C841DE7554}">
      <formula1>$B$132:$B$136</formula1>
    </dataValidation>
    <dataValidation type="list" allowBlank="1" showInputMessage="1" showErrorMessage="1" sqref="F13" xr:uid="{0FA27912-B361-4A2F-BA9F-A2E8022CEFD2}">
      <formula1>$B$138:$B$140</formula1>
    </dataValidation>
    <dataValidation type="list" allowBlank="1" showInputMessage="1" showErrorMessage="1" sqref="F14" xr:uid="{3671E165-8E1C-4791-9251-DBD0C5ABD4F7}">
      <formula1>$B$142:$B$145</formula1>
    </dataValidation>
    <dataValidation type="list" allowBlank="1" showInputMessage="1" showErrorMessage="1" sqref="F15" xr:uid="{E2BE95B9-259D-4BD1-80C0-3F8395DC3308}">
      <formula1>$B$147:$B$148</formula1>
    </dataValidation>
  </dataValidations>
  <pageMargins left="0.7" right="0.7" top="0.75" bottom="0.75" header="0.3" footer="0.3"/>
  <pageSetup scale="54" orientation="landscape"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3FD58-9C32-45F1-8DE1-9A4742F83DDB}">
  <sheetPr>
    <tabColor theme="4" tint="0.59999389629810485"/>
  </sheetPr>
  <dimension ref="B1:DN121"/>
  <sheetViews>
    <sheetView showGridLines="0" zoomScale="80" zoomScaleNormal="80" workbookViewId="0">
      <selection activeCell="B1" sqref="B1:E1"/>
    </sheetView>
  </sheetViews>
  <sheetFormatPr defaultColWidth="8.7265625" defaultRowHeight="14.5" outlineLevelRow="1"/>
  <cols>
    <col min="1" max="1" width="3.7265625" customWidth="1"/>
    <col min="2" max="2" width="58.26953125" customWidth="1"/>
    <col min="3" max="3" width="34.453125" customWidth="1"/>
    <col min="4" max="4" width="26.7265625" customWidth="1"/>
    <col min="5" max="5" width="18.1796875" style="3" customWidth="1"/>
    <col min="6" max="6" width="18.54296875" customWidth="1"/>
    <col min="7" max="7" width="14.26953125" customWidth="1"/>
    <col min="8" max="8" width="26.1796875" customWidth="1"/>
    <col min="9" max="115" width="18.54296875" customWidth="1"/>
  </cols>
  <sheetData>
    <row r="1" spans="2:9" ht="26.5" thickBot="1">
      <c r="B1" s="1219" t="s">
        <v>734</v>
      </c>
      <c r="C1" s="1220"/>
      <c r="D1" s="1220"/>
      <c r="E1" s="1220"/>
      <c r="F1" s="109" t="s">
        <v>109</v>
      </c>
      <c r="G1" s="110" t="str">
        <f>IF('A1. Identification'!$D$13=0, " ",'A1. Identification'!$D$13)</f>
        <v xml:space="preserve"> </v>
      </c>
      <c r="H1" s="87"/>
      <c r="I1" s="89"/>
    </row>
    <row r="2" spans="2:9" ht="18" customHeight="1">
      <c r="B2" s="51"/>
      <c r="C2" s="51"/>
      <c r="F2" s="887"/>
      <c r="G2" s="888"/>
    </row>
    <row r="3" spans="2:9" ht="23.5">
      <c r="B3" s="1221" t="s">
        <v>247</v>
      </c>
      <c r="C3" s="1222"/>
      <c r="D3" s="1222"/>
      <c r="E3" s="1222"/>
      <c r="H3" s="88"/>
      <c r="I3" s="90"/>
    </row>
    <row r="4" spans="2:9" ht="24" thickBot="1">
      <c r="B4" s="1223" t="str">
        <f>IF('A1. Identification'!D7=0, "2025 FAIR, CWELCC and OTEF Reconciliation for Multi Site Operators",'A1. Identification'!D7)</f>
        <v>2025 FAIR, CWELCC and OTEF Reconciliation for Multi Site Operators</v>
      </c>
      <c r="C4" s="1224"/>
      <c r="D4" s="1224"/>
      <c r="E4" s="1224"/>
      <c r="F4" s="88"/>
      <c r="G4" s="90"/>
    </row>
    <row r="5" spans="2:9" ht="18" customHeight="1" thickBot="1">
      <c r="B5" s="51"/>
      <c r="C5" s="51"/>
    </row>
    <row r="6" spans="2:9" s="556" customFormat="1" ht="24" customHeight="1" thickBot="1">
      <c r="B6" s="1196" t="s">
        <v>900</v>
      </c>
      <c r="C6" s="1197"/>
      <c r="D6" s="1197"/>
      <c r="E6" s="1197"/>
      <c r="F6"/>
      <c r="G6"/>
    </row>
    <row r="7" spans="2:9" s="558" customFormat="1" ht="24" customHeight="1" thickBot="1">
      <c r="B7" s="557"/>
      <c r="C7" s="557"/>
      <c r="D7" s="557"/>
      <c r="E7" s="557"/>
      <c r="F7" s="3"/>
      <c r="G7" s="3"/>
    </row>
    <row r="8" spans="2:9" s="558" customFormat="1" ht="24" customHeight="1" thickBot="1">
      <c r="B8" s="1198" t="s">
        <v>357</v>
      </c>
      <c r="C8" s="1199"/>
      <c r="D8" s="559" t="s">
        <v>23</v>
      </c>
      <c r="E8" s="998"/>
      <c r="F8"/>
      <c r="G8" s="556"/>
      <c r="H8" s="556"/>
    </row>
    <row r="9" spans="2:9" s="558" customFormat="1" ht="18.75" customHeight="1">
      <c r="B9" s="1200" t="s">
        <v>33</v>
      </c>
      <c r="C9" s="1200"/>
      <c r="D9" s="560">
        <f>'A2.Allocation &amp; Operating Plan'!E20+'A2.Allocation &amp; Operating Plan'!F20+'A2.Allocation &amp; Operating Plan'!G20+'A2.Allocation &amp; Operating Plan'!H20+'A2.Allocation &amp; Operating Plan'!I20</f>
        <v>0</v>
      </c>
      <c r="E9" s="556"/>
      <c r="F9" s="556"/>
      <c r="G9" s="556"/>
      <c r="H9" s="556"/>
    </row>
    <row r="10" spans="2:9" s="558" customFormat="1" ht="18.75" customHeight="1">
      <c r="B10" s="1201" t="s">
        <v>237</v>
      </c>
      <c r="C10" s="1201"/>
      <c r="D10" s="561">
        <f>'A2.Allocation &amp; Operating Plan'!E23+'A2.Allocation &amp; Operating Plan'!F23+'A2.Allocation &amp; Operating Plan'!G23+'A2.Allocation &amp; Operating Plan'!H23+'A2.Allocation &amp; Operating Plan'!I23</f>
        <v>0</v>
      </c>
      <c r="E10" s="556"/>
      <c r="F10" s="556"/>
      <c r="G10" s="556"/>
      <c r="H10" s="556"/>
    </row>
    <row r="11" spans="2:9" s="558" customFormat="1" ht="18.75" customHeight="1">
      <c r="B11" s="1178" t="s">
        <v>87</v>
      </c>
      <c r="C11" s="1179"/>
      <c r="D11" s="564">
        <f>D9+D10</f>
        <v>0</v>
      </c>
      <c r="E11" s="556"/>
      <c r="F11" s="556"/>
      <c r="G11" s="556"/>
      <c r="H11" s="556"/>
    </row>
    <row r="12" spans="2:9" s="558" customFormat="1" ht="18.75" customHeight="1">
      <c r="B12" s="565" t="s">
        <v>390</v>
      </c>
      <c r="C12" s="563"/>
      <c r="D12" s="564"/>
      <c r="F12" s="556"/>
      <c r="G12" s="556"/>
      <c r="H12" s="556"/>
    </row>
    <row r="13" spans="2:9" s="558" customFormat="1" ht="18.75" customHeight="1">
      <c r="B13" s="1204" t="s">
        <v>358</v>
      </c>
      <c r="C13" s="1204"/>
      <c r="D13" s="566">
        <f>-'A6. Operations_Consolidated'!E21</f>
        <v>0</v>
      </c>
      <c r="F13" s="556"/>
      <c r="G13" s="556"/>
      <c r="H13" s="556"/>
    </row>
    <row r="14" spans="2:9" s="558" customFormat="1" ht="18.75" customHeight="1">
      <c r="B14" s="1204" t="s">
        <v>359</v>
      </c>
      <c r="C14" s="1204"/>
      <c r="D14" s="566">
        <f>-'A3. Peel Region Grants'!G37</f>
        <v>0</v>
      </c>
      <c r="F14" s="556"/>
      <c r="G14" s="556"/>
      <c r="H14" s="556"/>
    </row>
    <row r="15" spans="2:9" s="558" customFormat="1" ht="18.75" customHeight="1">
      <c r="B15" s="1205" t="s">
        <v>360</v>
      </c>
      <c r="C15" s="1206"/>
      <c r="D15" s="567">
        <f>-'A6. Operations_Consolidated'!E22</f>
        <v>0</v>
      </c>
      <c r="F15" s="556"/>
      <c r="G15" s="556"/>
      <c r="H15" s="556"/>
    </row>
    <row r="16" spans="2:9" s="558" customFormat="1" ht="18.75" customHeight="1">
      <c r="B16" s="1178" t="s">
        <v>438</v>
      </c>
      <c r="C16" s="1179"/>
      <c r="D16" s="568">
        <f>D14+D15+D13</f>
        <v>0</v>
      </c>
      <c r="F16" s="556"/>
      <c r="G16" s="556"/>
      <c r="H16" s="556"/>
    </row>
    <row r="17" spans="2:11" s="558" customFormat="1" ht="18.75" customHeight="1">
      <c r="B17" s="562"/>
      <c r="C17" s="563"/>
      <c r="D17" s="569"/>
      <c r="F17" s="556"/>
      <c r="G17" s="556"/>
      <c r="H17" s="556"/>
    </row>
    <row r="18" spans="2:11" s="558" customFormat="1" ht="18.75" customHeight="1">
      <c r="B18" s="1207" t="s">
        <v>380</v>
      </c>
      <c r="C18" s="1207"/>
      <c r="D18" s="570">
        <f>D11+D16</f>
        <v>0</v>
      </c>
      <c r="E18" s="557"/>
      <c r="F18"/>
      <c r="G18" s="556"/>
      <c r="H18" s="556"/>
    </row>
    <row r="19" spans="2:11" s="558" customFormat="1" ht="18.75" customHeight="1">
      <c r="B19" s="571"/>
      <c r="C19" s="571"/>
      <c r="D19" s="572"/>
      <c r="E19" s="557"/>
      <c r="F19"/>
      <c r="G19" s="556"/>
      <c r="H19" s="556"/>
    </row>
    <row r="20" spans="2:11" ht="16.5" customHeight="1" collapsed="1">
      <c r="B20" s="573" t="s">
        <v>39</v>
      </c>
      <c r="C20" s="574" t="s">
        <v>90</v>
      </c>
      <c r="D20" s="575" t="s">
        <v>344</v>
      </c>
      <c r="E20"/>
      <c r="F20" s="322">
        <f>IFERROR((IF(OR('A2.Allocation &amp; Operating Plan'!$C$52=0,'A2.Allocation &amp; Operating Plan'!$C$52=""),0,'A2.Allocation &amp; Operating Plan'!$C$52)+
IF(OR('A2.Allocation &amp; Operating Plan'!C74=0,'A2.Allocation &amp; Operating Plan'!C74=""),0,'A2.Allocation &amp; Operating Plan'!C74)+
IF(OR('A2.Allocation &amp; Operating Plan'!C96=0,'A2.Allocation &amp; Operating Plan'!C96=""),0,'A2.Allocation &amp; Operating Plan'!C96)+
IF(OR('A2.Allocation &amp; Operating Plan'!C118=0,'A2.Allocation &amp; Operating Plan'!C118=""),0,'A2.Allocation &amp; Operating Plan'!C118)+
IF(OR('A2.Allocation &amp; Operating Plan'!C140=0,'A2.Allocation &amp; Operating Plan'!C140=""),0,'A2.Allocation &amp; Operating Plan'!C140)
)
/
(
IF(OR('A2.Allocation &amp; Operating Plan'!C52=0,'A2.Allocation &amp; Operating Plan'!C52=""),0,'A2.Allocation &amp; Operating Plan'!C52)+
IF(OR('A2.Allocation &amp; Operating Plan'!D52=0,'A2.Allocation &amp; Operating Plan'!D52=""),0,'A2.Allocation &amp; Operating Plan'!D52)+
IF(OR('A2.Allocation &amp; Operating Plan'!C74=0,'A2.Allocation &amp; Operating Plan'!C74=""),0,'A2.Allocation &amp; Operating Plan'!C74)+
IF(OR('A2.Allocation &amp; Operating Plan'!D74=0,'A2.Allocation &amp; Operating Plan'!D74=""),0,'A2.Allocation &amp; Operating Plan'!D74)+
IF(OR('A2.Allocation &amp; Operating Plan'!C96=0,'A2.Allocation &amp; Operating Plan'!C96=""),0,'A2.Allocation &amp; Operating Plan'!C96)+
IF(OR('A2.Allocation &amp; Operating Plan'!D96=0,'A2.Allocation &amp; Operating Plan'!D96=""),0,'A2.Allocation &amp; Operating Plan'!D96)+
IF(OR('A2.Allocation &amp; Operating Plan'!C118=0,'A2.Allocation &amp; Operating Plan'!C118=""),0,'A2.Allocation &amp; Operating Plan'!C118)+
IF(OR('A2.Allocation &amp; Operating Plan'!D118=0,'A2.Allocation &amp; Operating Plan'!D118=""),0,'A2.Allocation &amp; Operating Plan'!D118)+
IF(OR('A2.Allocation &amp; Operating Plan'!C140=0,'A2.Allocation &amp; Operating Plan'!C140=""),0,'A2.Allocation &amp; Operating Plan'!C140)+
IF(OR('A2.Allocation &amp; Operating Plan'!D140=0,'A2.Allocation &amp; Operating Plan'!D140=""),0,'A2.Allocation &amp; Operating Plan'!D140)
)," ")</f>
        <v>0.66669999999999996</v>
      </c>
    </row>
    <row r="21" spans="2:11" ht="15.5">
      <c r="B21" s="536" t="s">
        <v>944</v>
      </c>
      <c r="C21" s="537"/>
      <c r="D21" s="538">
        <f>'A6. Operations_Consolidated'!E124</f>
        <v>0</v>
      </c>
      <c r="E21"/>
      <c r="K21" s="938"/>
    </row>
    <row r="22" spans="2:11" ht="15.5">
      <c r="B22" s="536" t="s">
        <v>336</v>
      </c>
      <c r="C22" s="537"/>
      <c r="D22" s="538"/>
      <c r="E22"/>
    </row>
    <row r="23" spans="2:11" ht="15.5">
      <c r="B23" s="536" t="s">
        <v>393</v>
      </c>
      <c r="C23" s="537"/>
      <c r="D23" s="539">
        <f>IFERROR(('A5. Financial Position'!G34*('A2.Allocation &amp; Operating Plan'!$C$52+'A2.Allocation &amp; Operating Plan'!C74+'A2.Allocation &amp; Operating Plan'!C96+'A2.Allocation &amp; Operating Plan'!C118+'A2.Allocation &amp; Operating Plan'!C140)/('A2.Allocation &amp; Operating Plan'!C52+'A2.Allocation &amp; Operating Plan'!D52+'A2.Allocation &amp; Operating Plan'!C74+'A2.Allocation &amp; Operating Plan'!D74+'A2.Allocation &amp; Operating Plan'!C96+'A2.Allocation &amp; Operating Plan'!D96+'A2.Allocation &amp; Operating Plan'!C118+'A2.Allocation &amp; Operating Plan'!D118+'A2.Allocation &amp; Operating Plan'!C140+'A2.Allocation &amp; Operating Plan'!D140)),0)</f>
        <v>0</v>
      </c>
      <c r="E23"/>
      <c r="F23" s="576" t="str">
        <f>IF(Table13[[#This Row],[Amounts]]&gt;0,"Mortgage principal paid in the year is being prorated by 0–6 accommodation percentage of " &amp; TEXT(F20,"0.00%") &amp; " weighted average from all sites on tab 2.", " ")</f>
        <v xml:space="preserve"> </v>
      </c>
      <c r="G23" s="576"/>
    </row>
    <row r="24" spans="2:11" ht="15.5">
      <c r="B24" s="540" t="s">
        <v>476</v>
      </c>
      <c r="C24" s="537"/>
      <c r="D24" s="541">
        <f>-'A3. Peel Region Grants'!C122</f>
        <v>0</v>
      </c>
      <c r="E24"/>
    </row>
    <row r="25" spans="2:11" ht="15.5">
      <c r="B25" s="577" t="s">
        <v>477</v>
      </c>
      <c r="C25" s="542"/>
      <c r="D25" s="541">
        <f>-'A3. Peel Region Grants'!C121</f>
        <v>0</v>
      </c>
      <c r="E25"/>
    </row>
    <row r="26" spans="2:11" ht="15.5">
      <c r="B26" s="865" t="s">
        <v>930</v>
      </c>
      <c r="C26" s="537"/>
      <c r="D26" s="541">
        <f>-'A6. Operations_Consolidated'!E60</f>
        <v>0</v>
      </c>
      <c r="E26"/>
    </row>
    <row r="27" spans="2:11" ht="15.5">
      <c r="B27" s="577" t="s">
        <v>889</v>
      </c>
      <c r="C27" s="542"/>
      <c r="D27" s="541">
        <f>-'A6. Operations_Consolidated'!E84</f>
        <v>0</v>
      </c>
      <c r="E27"/>
    </row>
    <row r="28" spans="2:11" ht="15.5">
      <c r="B28" s="577" t="s">
        <v>890</v>
      </c>
      <c r="C28" s="542"/>
      <c r="D28" s="541">
        <f>-'A6. Operations_Consolidated'!E107</f>
        <v>0</v>
      </c>
      <c r="E28"/>
    </row>
    <row r="29" spans="2:11" ht="15.5">
      <c r="B29" s="577" t="s">
        <v>929</v>
      </c>
      <c r="C29" s="542"/>
      <c r="D29" s="541">
        <f>-'A6. Operations_Consolidated'!E98</f>
        <v>0</v>
      </c>
      <c r="E29"/>
    </row>
    <row r="30" spans="2:11" ht="14.5" customHeight="1">
      <c r="B30" s="540" t="s">
        <v>891</v>
      </c>
      <c r="C30" s="537"/>
      <c r="D30" s="541">
        <f>-'A6. Operations_Consolidated'!D114</f>
        <v>0</v>
      </c>
      <c r="E30"/>
    </row>
    <row r="31" spans="2:11" ht="15.5">
      <c r="B31" s="540" t="s">
        <v>892</v>
      </c>
      <c r="C31" s="537"/>
      <c r="D31" s="541">
        <f>-'A6. Operations_Consolidated'!E119</f>
        <v>0</v>
      </c>
      <c r="E31"/>
    </row>
    <row r="32" spans="2:11" ht="15.5">
      <c r="B32" s="540" t="s">
        <v>893</v>
      </c>
      <c r="C32" s="537"/>
      <c r="D32" s="541">
        <f>-'A3. Peel Region Grants'!G38-'A3. Peel Region Grants'!G39</f>
        <v>0</v>
      </c>
      <c r="E32"/>
    </row>
    <row r="33" spans="2:118" ht="18.5">
      <c r="B33" s="865" t="s">
        <v>894</v>
      </c>
      <c r="C33" s="537"/>
      <c r="D33" s="543">
        <f>-'A3. Peel Region Grants'!F133</f>
        <v>0</v>
      </c>
      <c r="E33"/>
    </row>
    <row r="34" spans="2:118" ht="15.5">
      <c r="B34" s="536" t="s">
        <v>342</v>
      </c>
      <c r="C34" s="537"/>
      <c r="D34" s="544">
        <f>SUM(D23:D33)</f>
        <v>0</v>
      </c>
      <c r="E34"/>
      <c r="I34" s="57"/>
    </row>
    <row r="35" spans="2:118" ht="15.5" collapsed="1">
      <c r="B35" s="536"/>
      <c r="C35" s="537"/>
      <c r="D35" s="538"/>
      <c r="E35"/>
      <c r="G35" s="57"/>
    </row>
    <row r="36" spans="2:118" s="7" customFormat="1" ht="15.5">
      <c r="B36" s="536" t="s">
        <v>343</v>
      </c>
      <c r="C36" s="537"/>
      <c r="D36" s="538">
        <f>+D21+D34</f>
        <v>0</v>
      </c>
      <c r="E36" s="578"/>
      <c r="F36" s="578"/>
      <c r="H36" s="578"/>
      <c r="DD36"/>
      <c r="DE36"/>
      <c r="DF36"/>
      <c r="DG36"/>
      <c r="DH36"/>
      <c r="DI36"/>
      <c r="DJ36"/>
      <c r="DK36"/>
      <c r="DL36"/>
      <c r="DM36"/>
      <c r="DN36"/>
    </row>
    <row r="37" spans="2:118" ht="15.5">
      <c r="B37" s="536"/>
      <c r="C37" s="537"/>
      <c r="D37" s="538"/>
      <c r="E37"/>
      <c r="F37" s="579"/>
      <c r="G37" s="86"/>
      <c r="H37" s="580"/>
      <c r="DD37" s="7"/>
      <c r="DE37" s="7"/>
      <c r="DF37" s="7"/>
      <c r="DG37" s="7"/>
      <c r="DH37" s="7"/>
      <c r="DI37" s="7"/>
      <c r="DJ37" s="7"/>
      <c r="DK37" s="7"/>
      <c r="DL37" s="7"/>
      <c r="DM37" s="7"/>
      <c r="DN37" s="7"/>
    </row>
    <row r="38" spans="2:118" ht="15.5">
      <c r="B38" s="536" t="s">
        <v>345</v>
      </c>
      <c r="C38" s="537"/>
      <c r="D38" s="538">
        <f>IFERROR(D9,0)</f>
        <v>0</v>
      </c>
      <c r="E38"/>
      <c r="F38" s="57"/>
      <c r="G38" s="57"/>
      <c r="H38" s="57"/>
      <c r="I38" s="57"/>
    </row>
    <row r="39" spans="2:118" ht="15.5">
      <c r="B39" s="536"/>
      <c r="C39" s="537"/>
      <c r="D39" s="538"/>
      <c r="E39"/>
      <c r="F39" s="57"/>
      <c r="H39" s="57"/>
      <c r="I39" s="57"/>
    </row>
    <row r="40" spans="2:118" ht="15.5">
      <c r="B40" s="536" t="s">
        <v>346</v>
      </c>
      <c r="C40" s="537"/>
      <c r="D40" s="538">
        <f>IF(D36&gt;D38,0,ROUND(D38-D36,2))</f>
        <v>0</v>
      </c>
      <c r="E40"/>
      <c r="H40" s="57"/>
      <c r="I40" s="57"/>
    </row>
    <row r="41" spans="2:118" ht="15.5">
      <c r="B41" s="536" t="str">
        <f>IF(Table13[[#This Row],[Amounts]]&gt;0,"Underspending of CWELCC program applied to OTEF", " ")</f>
        <v xml:space="preserve"> </v>
      </c>
      <c r="C41" s="581"/>
      <c r="D41" s="538">
        <f>C113</f>
        <v>0</v>
      </c>
      <c r="E41"/>
      <c r="I41" s="57"/>
      <c r="J41" s="526"/>
    </row>
    <row r="42" spans="2:118" ht="15.5">
      <c r="B42" s="577" t="s">
        <v>857</v>
      </c>
      <c r="C42" s="542"/>
      <c r="D42" s="538">
        <f>D36+D41</f>
        <v>0</v>
      </c>
      <c r="E42"/>
      <c r="G42" s="57"/>
      <c r="H42" s="57"/>
      <c r="I42" s="526"/>
      <c r="J42" s="57"/>
    </row>
    <row r="43" spans="2:118" ht="18.75" customHeight="1">
      <c r="B43" s="582" t="s">
        <v>350</v>
      </c>
      <c r="C43" s="583"/>
      <c r="D43" s="584">
        <f>ROUND(D40-D41,2)</f>
        <v>0</v>
      </c>
      <c r="E43"/>
      <c r="H43" s="57"/>
      <c r="I43" s="526"/>
      <c r="J43" s="57"/>
    </row>
    <row r="44" spans="2:118" ht="12" customHeight="1">
      <c r="B44" s="585"/>
      <c r="C44" s="586"/>
      <c r="D44" s="587"/>
      <c r="E44" s="588"/>
    </row>
    <row r="45" spans="2:118" ht="27.75" customHeight="1">
      <c r="B45" s="104" t="str">
        <f>IF(C113&gt;0,"*Important Note: CWELCC program allocation underspending of $" &amp;ROUND(C113,0)&amp; " is being applied to your OTEF grant to maximize your Cost based funding, your remaining amount in Program cost underspending is $"&amp;D43," ")</f>
        <v xml:space="preserve"> </v>
      </c>
      <c r="D45" s="57"/>
      <c r="E45" s="589"/>
    </row>
    <row r="46" spans="2:118" ht="15" thickBot="1"/>
    <row r="47" spans="2:118" ht="25.5" customHeight="1" thickBot="1">
      <c r="B47" s="590" t="s">
        <v>373</v>
      </c>
      <c r="C47" s="591"/>
      <c r="D47" s="591"/>
      <c r="E47" s="591"/>
      <c r="F47" s="592"/>
      <c r="G47" s="592"/>
    </row>
    <row r="50" spans="2:8" ht="21">
      <c r="B50" s="1208" t="s">
        <v>221</v>
      </c>
      <c r="C50" s="1209"/>
      <c r="D50" s="1209"/>
      <c r="E50" s="593"/>
    </row>
    <row r="51" spans="2:8" ht="15.5">
      <c r="B51" s="1202" t="s">
        <v>77</v>
      </c>
      <c r="C51" s="1202"/>
      <c r="D51" s="1202"/>
      <c r="E51" s="594">
        <f>IFERROR((IF('A7. 2025 CWELCC &amp; OTEF Recon'!D38-'A7. 2025 CWELCC &amp; OTEF Recon'!D62&lt;0,0,'A7. 2025 CWELCC &amp; OTEF Recon'!D38-'A7. 2025 CWELCC &amp; OTEF Recon'!D62)),0)</f>
        <v>0</v>
      </c>
      <c r="F51" s="595" t="str">
        <f>IF(E51&gt;0,"Your eligible CWELCC Program Cost allocation is underspent, unused funding will be recovered at end of year.", "")</f>
        <v/>
      </c>
      <c r="G51" s="596"/>
    </row>
    <row r="52" spans="2:8" ht="15.5">
      <c r="B52" s="1202" t="s">
        <v>78</v>
      </c>
      <c r="C52" s="1202"/>
      <c r="D52" s="1202"/>
      <c r="E52" s="594">
        <f>IFERROR(ROUND((('A2.Allocation &amp; Operating Plan'!E23+'A2.Allocation &amp; Operating Plan'!F23+'A2.Allocation &amp; Operating Plan'!G23+'A2.Allocation &amp; Operating Plan'!H23+'A2.Allocation &amp; Operating Plan'!I23)-'A7. 2025 CWELCC &amp; OTEF Recon'!E64),0),0)</f>
        <v>0</v>
      </c>
      <c r="F52" s="595" t="str">
        <f>IF(E52&gt;0,"Recalculation of Lieu of Profit/Surplus due to underspending and/or not participating in CWELCC for full 12 months.", "")</f>
        <v/>
      </c>
    </row>
    <row r="53" spans="2:8" ht="15.5">
      <c r="B53" s="1202" t="s">
        <v>218</v>
      </c>
      <c r="C53" s="1202"/>
      <c r="D53" s="1202"/>
      <c r="E53" s="594">
        <f>IFERROR((IF('A7. 2025 CWELCC &amp; OTEF Recon'!C73&lt;'A7. 2025 CWELCC &amp; OTEF Recon'!C72,0,'A7. 2025 CWELCC &amp; OTEF Recon'!C73-'A7. 2025 CWELCC &amp; OTEF Recon'!C72)),0)</f>
        <v>0</v>
      </c>
      <c r="F53" s="595" t="str">
        <f>IF(E53&gt;0,"Actual Base Fee Revenue is greater than expected revenue, any revenue collected in excess of allocation will be recovered", "")</f>
        <v/>
      </c>
    </row>
    <row r="54" spans="2:8" ht="15.5">
      <c r="B54" s="1203" t="s">
        <v>79</v>
      </c>
      <c r="C54" s="1203"/>
      <c r="D54" s="1203"/>
      <c r="E54" s="597">
        <f>SUM(E51:E53)</f>
        <v>0</v>
      </c>
      <c r="G54" s="57"/>
      <c r="H54" s="526"/>
    </row>
    <row r="55" spans="2:8" ht="21" customHeight="1" thickBot="1"/>
    <row r="56" spans="2:8" ht="21">
      <c r="B56" s="598" t="s">
        <v>238</v>
      </c>
      <c r="C56" s="599"/>
      <c r="D56" s="599"/>
      <c r="E56" s="600"/>
    </row>
    <row r="57" spans="2:8" ht="16" thickBot="1">
      <c r="B57" s="78" t="s">
        <v>80</v>
      </c>
      <c r="E57" s="56"/>
    </row>
    <row r="58" spans="2:8" ht="16" thickBot="1">
      <c r="B58" s="601" t="s">
        <v>361</v>
      </c>
      <c r="C58" s="602"/>
      <c r="D58" s="602"/>
      <c r="E58" s="603">
        <f>IFERROR(('A2.Allocation &amp; Operating Plan'!E24+'A2.Allocation &amp; Operating Plan'!F24+'A2.Allocation &amp; Operating Plan'!G24+'A2.Allocation &amp; Operating Plan'!H24+'A2.Allocation &amp; Operating Plan'!I24),0)</f>
        <v>0</v>
      </c>
    </row>
    <row r="59" spans="2:8" ht="16" thickTop="1">
      <c r="B59" s="604"/>
      <c r="C59" s="605"/>
      <c r="D59" s="606"/>
      <c r="E59" s="607"/>
    </row>
    <row r="60" spans="2:8" ht="17.25" customHeight="1">
      <c r="B60" s="608" t="s">
        <v>435</v>
      </c>
      <c r="C60" s="609"/>
      <c r="D60" s="609"/>
      <c r="E60" s="610">
        <f>IFERROR(MIN(D62,D63),0)</f>
        <v>0</v>
      </c>
    </row>
    <row r="61" spans="2:8" ht="15.5">
      <c r="B61" s="611" t="s">
        <v>81</v>
      </c>
      <c r="D61" s="612"/>
      <c r="E61" s="613"/>
    </row>
    <row r="62" spans="2:8" ht="15.5">
      <c r="B62" s="614" t="s">
        <v>465</v>
      </c>
      <c r="D62" s="612">
        <f>D36+D41</f>
        <v>0</v>
      </c>
      <c r="E62" s="615"/>
    </row>
    <row r="63" spans="2:8" ht="16" thickBot="1">
      <c r="B63" s="616" t="s">
        <v>362</v>
      </c>
      <c r="C63" s="617"/>
      <c r="D63" s="618">
        <f>D38</f>
        <v>0</v>
      </c>
      <c r="E63" s="619"/>
    </row>
    <row r="64" spans="2:8" ht="16" thickTop="1">
      <c r="B64" s="620" t="s">
        <v>436</v>
      </c>
      <c r="C64" s="621"/>
      <c r="D64" s="622"/>
      <c r="E64" s="623">
        <f>ROUND(IF((D65+D68+D69)&gt;('A2.Allocation &amp; Operating Plan'!E23+'A2.Allocation &amp; Operating Plan'!F23+'A2.Allocation &amp; Operating Plan'!G23+'A2.Allocation &amp; Operating Plan'!H23+'A2.Allocation &amp; Operating Plan'!I23),('A2.Allocation &amp; Operating Plan'!E23+'A2.Allocation &amp; Operating Plan'!EF23+'A2.Allocation &amp; Operating Plan'!G23+'A2.Allocation &amp; Operating Plan'!H23+'A2.Allocation &amp; Operating Plan'!I23),'A7. 2025 CWELCC &amp; OTEF Recon'!D65+'A7. 2025 CWELCC &amp; OTEF Recon'!D68+'A7. 2025 CWELCC &amp; OTEF Recon'!D69),0)</f>
        <v>0</v>
      </c>
    </row>
    <row r="65" spans="2:7" ht="15.5">
      <c r="B65" s="624" t="s">
        <v>363</v>
      </c>
      <c r="D65" s="612">
        <f>IFERROR(0.0425*E60,0)</f>
        <v>0</v>
      </c>
      <c r="E65" s="625"/>
    </row>
    <row r="66" spans="2:7" ht="15.5">
      <c r="B66" s="626" t="s">
        <v>82</v>
      </c>
      <c r="D66" s="612"/>
      <c r="E66" s="625"/>
    </row>
    <row r="67" spans="2:7" ht="15.5">
      <c r="B67" s="627" t="s">
        <v>364</v>
      </c>
      <c r="C67" s="612">
        <f>IFERROR(E60,0)</f>
        <v>0</v>
      </c>
      <c r="D67" s="612"/>
      <c r="E67" s="56"/>
    </row>
    <row r="68" spans="2:7" ht="15.5">
      <c r="B68" s="627" t="s">
        <v>83</v>
      </c>
      <c r="C68" s="612">
        <f>IFERROR((SUM('A2.Allocation &amp; Operating Plan'!E13:E17)+SUM('A2.Allocation &amp; Operating Plan'!F13:F17)+SUM('A2.Allocation &amp; Operating Plan'!G13:G17)+SUM('A2.Allocation &amp; Operating Plan'!H13:H17)+SUM('A2.Allocation &amp; Operating Plan'!I13:I17)),0)</f>
        <v>0</v>
      </c>
      <c r="D68" s="612">
        <f>IFERROR(0.035*MIN(C67,C68),0)</f>
        <v>0</v>
      </c>
      <c r="E68" s="56"/>
    </row>
    <row r="69" spans="2:7" ht="16" thickBot="1">
      <c r="B69" s="628" t="str">
        <f>"iii. Add - $"&amp;D69</f>
        <v>iii. Add - $0</v>
      </c>
      <c r="C69" s="629"/>
      <c r="D69" s="618">
        <f>IF(E58=0,0,'A6a. Operations-Site 1'!D192+'A6b. Operations-Site 2'!D192+'A6c. Operations-Site 3'!D192+'A6d. Operations-Site 4'!D192+'A6e. Operations-Site 5'!D192)</f>
        <v>0</v>
      </c>
      <c r="E69" s="630"/>
    </row>
    <row r="70" spans="2:7" ht="16" thickTop="1">
      <c r="B70" s="620" t="s">
        <v>437</v>
      </c>
      <c r="C70" s="621"/>
      <c r="D70" s="631"/>
      <c r="E70" s="623">
        <f>-IFERROR(MAX(C72,C73),0)</f>
        <v>0</v>
      </c>
    </row>
    <row r="71" spans="2:7" ht="15.5">
      <c r="B71" s="632" t="s">
        <v>84</v>
      </c>
      <c r="D71" s="605"/>
      <c r="E71" s="633"/>
    </row>
    <row r="72" spans="2:7" ht="15.5">
      <c r="B72" s="624" t="s">
        <v>365</v>
      </c>
      <c r="C72" s="612">
        <f>-IFERROR(('A2.Allocation &amp; Operating Plan'!E21+'A2.Allocation &amp; Operating Plan'!F21+'A2.Allocation &amp; Operating Plan'!G21+'A2.Allocation &amp; Operating Plan'!H21+'A2.Allocation &amp; Operating Plan'!I21),0)</f>
        <v>0</v>
      </c>
      <c r="D72" s="605"/>
      <c r="E72" s="633"/>
    </row>
    <row r="73" spans="2:7" ht="16" thickBot="1">
      <c r="B73" s="634" t="s">
        <v>366</v>
      </c>
      <c r="C73" s="618">
        <f>-D16</f>
        <v>0</v>
      </c>
      <c r="D73" s="635"/>
      <c r="E73" s="636"/>
    </row>
    <row r="74" spans="2:7" ht="16.5" thickTop="1" thickBot="1">
      <c r="B74" s="637" t="s">
        <v>219</v>
      </c>
      <c r="C74" s="638"/>
      <c r="D74" s="639"/>
      <c r="E74" s="640">
        <f>IFERROR(E60+E64+E70,0)</f>
        <v>0</v>
      </c>
    </row>
    <row r="75" spans="2:7" ht="16" thickBot="1">
      <c r="B75" s="641"/>
      <c r="C75" s="641"/>
      <c r="D75" s="641"/>
      <c r="E75" s="642"/>
    </row>
    <row r="76" spans="2:7" ht="19" thickBot="1">
      <c r="B76" s="643" t="s">
        <v>220</v>
      </c>
      <c r="C76" s="644"/>
      <c r="D76" s="644"/>
      <c r="E76" s="645">
        <f>IF(E74&lt;0,0,E58-E74)</f>
        <v>0</v>
      </c>
    </row>
    <row r="78" spans="2:7" ht="15" thickBot="1"/>
    <row r="79" spans="2:7" ht="24" thickBot="1">
      <c r="B79" s="590" t="s">
        <v>866</v>
      </c>
      <c r="C79" s="591"/>
      <c r="D79" s="591"/>
      <c r="E79" s="646"/>
      <c r="F79" s="647"/>
      <c r="G79" s="647"/>
    </row>
    <row r="81" spans="2:5" ht="15" outlineLevel="1" thickBot="1"/>
    <row r="82" spans="2:5" ht="21.5" outlineLevel="1" thickBot="1">
      <c r="B82" s="648" t="s">
        <v>296</v>
      </c>
      <c r="C82" s="649"/>
      <c r="D82" s="649"/>
      <c r="E82" s="650"/>
    </row>
    <row r="83" spans="2:5" ht="15.5" outlineLevel="1">
      <c r="B83" s="78"/>
      <c r="C83" s="14"/>
      <c r="D83" s="14"/>
      <c r="E83" s="14"/>
    </row>
    <row r="84" spans="2:5" ht="18.5" outlineLevel="1">
      <c r="B84" s="1145" t="s">
        <v>297</v>
      </c>
      <c r="C84" s="1146"/>
      <c r="D84" s="1146"/>
      <c r="E84" s="1147"/>
    </row>
    <row r="85" spans="2:5" ht="15.5" outlineLevel="1">
      <c r="B85" s="78"/>
      <c r="C85" s="14"/>
      <c r="D85" s="14"/>
      <c r="E85" s="81"/>
    </row>
    <row r="86" spans="2:5" ht="15.5" outlineLevel="1">
      <c r="B86" s="83" t="s">
        <v>445</v>
      </c>
      <c r="C86" s="14"/>
      <c r="D86" s="14"/>
      <c r="E86" s="81"/>
    </row>
    <row r="87" spans="2:5" ht="15.5" outlineLevel="1">
      <c r="B87" s="83"/>
      <c r="C87" s="14"/>
      <c r="D87" s="14"/>
      <c r="E87" s="81"/>
    </row>
    <row r="88" spans="2:5" ht="15.5" outlineLevel="1">
      <c r="B88" s="91" t="s">
        <v>314</v>
      </c>
      <c r="C88" s="96" t="s">
        <v>246</v>
      </c>
      <c r="E88" s="81"/>
    </row>
    <row r="89" spans="2:5" ht="15.5" outlineLevel="1">
      <c r="B89" s="83" t="s">
        <v>290</v>
      </c>
      <c r="C89" s="378">
        <f>'A3. Peel Region Grants'!C100</f>
        <v>0</v>
      </c>
      <c r="D89" s="375"/>
      <c r="E89" s="81"/>
    </row>
    <row r="90" spans="2:5" ht="15.5" outlineLevel="1">
      <c r="B90" s="85" t="s">
        <v>293</v>
      </c>
      <c r="C90" s="378">
        <f>'A3. Peel Region Grants'!C101</f>
        <v>0</v>
      </c>
      <c r="D90" s="375"/>
      <c r="E90" s="81"/>
    </row>
    <row r="91" spans="2:5" ht="15.5" outlineLevel="1">
      <c r="B91" s="85" t="s">
        <v>294</v>
      </c>
      <c r="C91" s="378">
        <f>'A3. Peel Region Grants'!C102</f>
        <v>0</v>
      </c>
      <c r="E91" s="81"/>
    </row>
    <row r="92" spans="2:5" ht="15.5" outlineLevel="1">
      <c r="B92" s="92" t="s">
        <v>315</v>
      </c>
      <c r="C92" s="397">
        <f>+C89-C90-C91</f>
        <v>0</v>
      </c>
      <c r="E92" s="81"/>
    </row>
    <row r="93" spans="2:5" ht="15.5" outlineLevel="1">
      <c r="B93" s="83"/>
      <c r="C93" s="387"/>
      <c r="D93" s="375"/>
      <c r="E93" s="81"/>
    </row>
    <row r="94" spans="2:5" ht="15.5" outlineLevel="1">
      <c r="B94" s="91" t="s">
        <v>316</v>
      </c>
      <c r="C94" s="96" t="s">
        <v>246</v>
      </c>
      <c r="D94" s="651" t="s">
        <v>287</v>
      </c>
      <c r="E94" s="81"/>
    </row>
    <row r="95" spans="2:5" ht="15.5" outlineLevel="1">
      <c r="B95" s="83" t="s">
        <v>315</v>
      </c>
      <c r="C95" s="652">
        <f>C92</f>
        <v>0</v>
      </c>
      <c r="D95" s="653"/>
      <c r="E95" s="81"/>
    </row>
    <row r="96" spans="2:5" ht="15.5" outlineLevel="1">
      <c r="B96" s="654" t="s">
        <v>292</v>
      </c>
      <c r="C96" s="655">
        <f>+'A3. Peel Region Grants'!C108</f>
        <v>0</v>
      </c>
      <c r="D96" s="656">
        <f>IFERROR(C96/C92,0)</f>
        <v>0</v>
      </c>
      <c r="E96" s="81"/>
    </row>
    <row r="97" spans="2:5" ht="15.5" outlineLevel="1">
      <c r="B97" s="83" t="s">
        <v>291</v>
      </c>
      <c r="C97" s="652">
        <f>+C95-C96</f>
        <v>0</v>
      </c>
      <c r="D97" s="657"/>
      <c r="E97" s="81"/>
    </row>
    <row r="98" spans="2:5" ht="15.5" outlineLevel="1">
      <c r="B98" s="85" t="s">
        <v>317</v>
      </c>
      <c r="C98" s="655">
        <f>+'A3. Peel Region Grants'!C110</f>
        <v>0</v>
      </c>
      <c r="D98" s="656">
        <f>IFERROR(C98/C97,0)</f>
        <v>0</v>
      </c>
      <c r="E98" s="81"/>
    </row>
    <row r="99" spans="2:5" ht="15.5" outlineLevel="1">
      <c r="B99" s="92" t="s">
        <v>318</v>
      </c>
      <c r="C99" s="93">
        <f>+C97-C98</f>
        <v>0</v>
      </c>
      <c r="D99" s="658"/>
      <c r="E99" s="659"/>
    </row>
    <row r="100" spans="2:5" ht="15.5" outlineLevel="1">
      <c r="B100" s="78"/>
      <c r="C100" s="14"/>
      <c r="D100" s="14"/>
      <c r="E100" s="659"/>
    </row>
    <row r="101" spans="2:5" ht="18.5" outlineLevel="1">
      <c r="B101" s="1145" t="s">
        <v>289</v>
      </c>
      <c r="C101" s="1146"/>
      <c r="D101" s="1146"/>
      <c r="E101" s="1147"/>
    </row>
    <row r="102" spans="2:5" ht="15.5" outlineLevel="1">
      <c r="B102" s="83"/>
      <c r="D102" s="14"/>
      <c r="E102" s="81"/>
    </row>
    <row r="103" spans="2:5" ht="15.5" outlineLevel="1">
      <c r="B103" s="91" t="s">
        <v>314</v>
      </c>
      <c r="C103" s="96" t="s">
        <v>246</v>
      </c>
      <c r="D103" s="375"/>
      <c r="E103" s="56"/>
    </row>
    <row r="104" spans="2:5" ht="15.5" outlineLevel="1">
      <c r="B104" s="83" t="s">
        <v>470</v>
      </c>
      <c r="C104" s="660">
        <f>IF('A3. Peel Region Grants'!C100&lt;'A3. Peel Region Grants'!C117,'A3. Peel Region Grants'!C100,'A3. Peel Region Grants'!C117)</f>
        <v>0</v>
      </c>
      <c r="D104" s="375"/>
      <c r="E104" s="661" t="str">
        <f>IF(C108&gt;C92,"Final Net Project cost is higher than the Approved Net Project cost", " ")</f>
        <v xml:space="preserve"> </v>
      </c>
    </row>
    <row r="105" spans="2:5" ht="15.5" outlineLevel="1">
      <c r="B105" s="85" t="s">
        <v>293</v>
      </c>
      <c r="C105" s="378">
        <f>'A3. Peel Region Grants'!C118</f>
        <v>0</v>
      </c>
      <c r="D105" s="84"/>
      <c r="E105" s="661"/>
    </row>
    <row r="106" spans="2:5" ht="15.5" outlineLevel="1">
      <c r="B106" s="85" t="s">
        <v>294</v>
      </c>
      <c r="C106" s="378">
        <f>'A3. Peel Region Grants'!C119</f>
        <v>0</v>
      </c>
      <c r="D106" s="84"/>
      <c r="E106" s="661"/>
    </row>
    <row r="107" spans="2:5" ht="15.5" outlineLevel="1">
      <c r="B107" s="85" t="s">
        <v>319</v>
      </c>
      <c r="C107" s="660">
        <f>'A3. Peel Region Grants'!C120</f>
        <v>0</v>
      </c>
      <c r="D107" s="84"/>
      <c r="E107" s="661"/>
    </row>
    <row r="108" spans="2:5" ht="18.5" outlineLevel="1">
      <c r="B108" s="92" t="s">
        <v>444</v>
      </c>
      <c r="C108" s="662">
        <f>MIN(C104-C105-C106-C107,'A3. Peel Region Grants'!C121+'A3. Peel Region Grants'!C122)</f>
        <v>0</v>
      </c>
      <c r="D108" s="663"/>
      <c r="E108" s="661"/>
    </row>
    <row r="109" spans="2:5" ht="16" outlineLevel="1" thickBot="1">
      <c r="B109" s="83"/>
      <c r="C109" s="14"/>
      <c r="D109" s="14"/>
      <c r="E109" s="98"/>
    </row>
    <row r="110" spans="2:5" ht="15.5" outlineLevel="1">
      <c r="B110" s="664" t="s">
        <v>352</v>
      </c>
      <c r="C110" s="1217">
        <f>IF(C104=0,0,D40)</f>
        <v>0</v>
      </c>
      <c r="D110" s="665"/>
      <c r="E110" s="81"/>
    </row>
    <row r="111" spans="2:5" ht="19" outlineLevel="1" thickBot="1">
      <c r="B111" s="666" t="s">
        <v>353</v>
      </c>
      <c r="C111" s="1218"/>
      <c r="D111" s="665"/>
      <c r="E111" s="81"/>
    </row>
    <row r="112" spans="2:5" ht="15.5" outlineLevel="1">
      <c r="B112" s="83"/>
      <c r="D112" s="14"/>
      <c r="E112" s="81"/>
    </row>
    <row r="113" spans="2:5" ht="15.5" outlineLevel="1">
      <c r="B113" s="667" t="s">
        <v>351</v>
      </c>
      <c r="C113" s="668">
        <f>IF(D40&gt;C108,C108,D40)</f>
        <v>0</v>
      </c>
      <c r="D113" s="14"/>
      <c r="E113" s="56"/>
    </row>
    <row r="114" spans="2:5" ht="15.5" outlineLevel="1">
      <c r="B114" s="667"/>
      <c r="C114" s="668"/>
      <c r="D114" s="14"/>
      <c r="E114" s="56"/>
    </row>
    <row r="115" spans="2:5" ht="15.5" outlineLevel="1">
      <c r="B115" s="669" t="s">
        <v>457</v>
      </c>
      <c r="C115" s="670">
        <f>IF(C113-'A3. Peel Region Grants'!C121&gt;=0,'A3. Peel Region Grants'!C121,C113)</f>
        <v>0</v>
      </c>
      <c r="D115" s="671"/>
      <c r="E115" s="672"/>
    </row>
    <row r="116" spans="2:5" ht="15.5" outlineLevel="1">
      <c r="B116" s="669" t="s">
        <v>858</v>
      </c>
      <c r="C116" s="670">
        <f>C113-C115</f>
        <v>0</v>
      </c>
      <c r="D116" s="671"/>
      <c r="E116" s="672"/>
    </row>
    <row r="117" spans="2:5" ht="15.5" outlineLevel="1">
      <c r="B117" s="673" t="s">
        <v>479</v>
      </c>
      <c r="C117" s="670">
        <f>IF(C113&gt;C108*D98,0,C108*D98-C113)</f>
        <v>0</v>
      </c>
      <c r="D117" s="665"/>
      <c r="E117" s="672"/>
    </row>
    <row r="118" spans="2:5" ht="15.5" outlineLevel="1">
      <c r="B118" s="667" t="s">
        <v>320</v>
      </c>
      <c r="C118" s="670">
        <f>+C108-C113-C117</f>
        <v>0</v>
      </c>
      <c r="D118" s="665"/>
      <c r="E118" s="672"/>
    </row>
    <row r="119" spans="2:5" ht="16" outlineLevel="1" thickBot="1">
      <c r="B119" s="674" t="s">
        <v>321</v>
      </c>
      <c r="C119" s="675">
        <f>+C113+C117+C118</f>
        <v>0</v>
      </c>
      <c r="D119" s="665"/>
      <c r="E119" s="672"/>
    </row>
    <row r="120" spans="2:5" ht="16" outlineLevel="1" thickTop="1">
      <c r="B120" s="85"/>
      <c r="C120" s="676"/>
      <c r="D120" s="665"/>
      <c r="E120" s="672"/>
    </row>
    <row r="121" spans="2:5" ht="16" outlineLevel="1" thickBot="1">
      <c r="B121" s="677"/>
      <c r="C121" s="678"/>
      <c r="D121" s="679"/>
      <c r="E121" s="82"/>
    </row>
  </sheetData>
  <sheetProtection algorithmName="SHA-512" hashValue="3CHXFGpMjmFD7IUEthEhY8GxOXWMblJUEOV9Yn9bbFvWXbmRP5sG96OKo6jwbRKsAloKWnqm64vmO7+KG0swPQ==" saltValue="CUfF6a+Q4dMypf+hDdRc1Q==" spinCount="100000" sheet="1" objects="1" scenarios="1"/>
  <mergeCells count="21">
    <mergeCell ref="B1:E1"/>
    <mergeCell ref="B3:E3"/>
    <mergeCell ref="B4:E4"/>
    <mergeCell ref="B10:C10"/>
    <mergeCell ref="B16:C16"/>
    <mergeCell ref="B8:C8"/>
    <mergeCell ref="B6:E6"/>
    <mergeCell ref="B9:C9"/>
    <mergeCell ref="B13:C13"/>
    <mergeCell ref="B14:C14"/>
    <mergeCell ref="C110:C111"/>
    <mergeCell ref="B15:C15"/>
    <mergeCell ref="B11:C11"/>
    <mergeCell ref="B53:D53"/>
    <mergeCell ref="B54:D54"/>
    <mergeCell ref="B50:D50"/>
    <mergeCell ref="B51:D51"/>
    <mergeCell ref="B52:D52"/>
    <mergeCell ref="B18:C18"/>
    <mergeCell ref="B101:E101"/>
    <mergeCell ref="B84:E84"/>
  </mergeCells>
  <phoneticPr fontId="5" type="noConversion"/>
  <pageMargins left="0.7" right="0.7" top="0.75" bottom="0.75" header="0.3" footer="0.3"/>
  <pageSetup scale="38" orientation="landscape"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794FB-984D-4E06-9E28-5867912E160B}">
  <sheetPr>
    <tabColor theme="4" tint="0.59999389629810485"/>
  </sheetPr>
  <dimension ref="A1:M37"/>
  <sheetViews>
    <sheetView showGridLines="0" workbookViewId="0">
      <selection activeCell="B1" sqref="B1:H1"/>
    </sheetView>
  </sheetViews>
  <sheetFormatPr defaultColWidth="9.1796875" defaultRowHeight="14.5"/>
  <cols>
    <col min="1" max="1" width="2.7265625" bestFit="1" customWidth="1"/>
    <col min="2" max="2" width="29.453125" customWidth="1"/>
    <col min="3" max="3" width="22.54296875" customWidth="1"/>
    <col min="4" max="4" width="10" customWidth="1"/>
    <col min="5" max="5" width="26.7265625" customWidth="1"/>
    <col min="6" max="6" width="16" customWidth="1"/>
    <col min="7" max="7" width="16.7265625" customWidth="1"/>
    <col min="8" max="8" width="16.453125" customWidth="1"/>
    <col min="9" max="9" width="18.54296875" customWidth="1"/>
    <col min="10" max="10" width="20.7265625" customWidth="1"/>
    <col min="11" max="11" width="14" customWidth="1"/>
    <col min="12" max="12" width="14.7265625" customWidth="1"/>
    <col min="13" max="13" width="16.453125" customWidth="1"/>
    <col min="14" max="14" width="13.26953125" customWidth="1"/>
    <col min="15" max="15" width="11.453125" customWidth="1"/>
    <col min="16" max="16" width="15.453125" customWidth="1"/>
    <col min="17" max="17" width="15.7265625" customWidth="1"/>
    <col min="18" max="18" width="11.1796875" customWidth="1"/>
    <col min="19" max="19" width="15.453125" customWidth="1"/>
  </cols>
  <sheetData>
    <row r="1" spans="1:12" ht="26">
      <c r="B1" s="1225" t="s">
        <v>734</v>
      </c>
      <c r="C1" s="1226"/>
      <c r="D1" s="1226"/>
      <c r="E1" s="1226"/>
      <c r="F1" s="1226"/>
      <c r="G1" s="1226"/>
      <c r="H1" s="1226"/>
      <c r="I1" s="109" t="s">
        <v>109</v>
      </c>
      <c r="J1" s="110" t="str">
        <f>IF('A1. Identification'!$D$13=0, " ",'A1. Identification'!$D$13)</f>
        <v xml:space="preserve"> </v>
      </c>
    </row>
    <row r="2" spans="1:12" ht="21" customHeight="1">
      <c r="B2" s="680"/>
      <c r="C2" s="681"/>
      <c r="D2" s="681"/>
      <c r="E2" s="681"/>
      <c r="F2" s="681"/>
      <c r="G2" s="681"/>
      <c r="H2" s="681"/>
      <c r="I2" s="890"/>
      <c r="J2" s="891"/>
    </row>
    <row r="3" spans="1:12" ht="23.5">
      <c r="B3" s="1221" t="str">
        <f>IF('A1. Identification'!D7=0, "2025 FAIR, CWELCC and OTEF Reconciliation for Multi Site Operators",'A1. Identification'!D7)</f>
        <v>2025 FAIR, CWELCC and OTEF Reconciliation for Multi Site Operators</v>
      </c>
      <c r="C3" s="1222"/>
      <c r="D3" s="1222"/>
      <c r="E3" s="1222"/>
      <c r="F3" s="1222"/>
      <c r="G3" s="1222"/>
      <c r="H3" s="1230"/>
    </row>
    <row r="4" spans="1:12" ht="24" thickBot="1">
      <c r="B4" s="1231" t="s">
        <v>484</v>
      </c>
      <c r="C4" s="1224"/>
      <c r="D4" s="1224"/>
      <c r="E4" s="1224"/>
      <c r="F4" s="1224"/>
      <c r="G4" s="1224"/>
      <c r="H4" s="1232"/>
    </row>
    <row r="6" spans="1:12" ht="21" customHeight="1">
      <c r="B6" s="103" t="s">
        <v>786</v>
      </c>
      <c r="C6" s="682"/>
      <c r="D6" s="682"/>
      <c r="E6" s="682"/>
      <c r="F6" s="682"/>
      <c r="G6" s="682"/>
      <c r="H6" s="682"/>
    </row>
    <row r="7" spans="1:12" ht="15" thickBot="1"/>
    <row r="8" spans="1:12" ht="21.5" thickBot="1">
      <c r="B8" s="1227" t="s">
        <v>331</v>
      </c>
      <c r="C8" s="1228"/>
      <c r="D8" s="1228"/>
      <c r="E8" s="1228"/>
      <c r="F8" s="1228"/>
      <c r="G8" s="1228"/>
      <c r="H8" s="1229"/>
    </row>
    <row r="10" spans="1:12" ht="15" thickBot="1">
      <c r="A10" s="683"/>
      <c r="B10" s="684"/>
      <c r="C10" s="684"/>
    </row>
    <row r="11" spans="1:12" ht="58.5" thickBot="1">
      <c r="A11" s="685" t="s">
        <v>222</v>
      </c>
      <c r="B11" s="686" t="s">
        <v>223</v>
      </c>
      <c r="C11" s="686" t="s">
        <v>224</v>
      </c>
      <c r="D11" s="686" t="s">
        <v>225</v>
      </c>
      <c r="E11" s="686" t="s">
        <v>226</v>
      </c>
      <c r="F11" s="686" t="s">
        <v>227</v>
      </c>
      <c r="G11" s="686" t="s">
        <v>228</v>
      </c>
      <c r="H11" s="686" t="s">
        <v>229</v>
      </c>
    </row>
    <row r="12" spans="1:12" ht="15" thickBot="1">
      <c r="A12" s="687">
        <v>1</v>
      </c>
      <c r="B12" s="687" t="s">
        <v>26</v>
      </c>
      <c r="C12" s="688">
        <f>'A2.Allocation &amp; Operating Plan'!E13+'A2.Allocation &amp; Operating Plan'!F13+'A2.Allocation &amp; Operating Plan'!G13+'A2.Allocation &amp; Operating Plan'!H13+'A2.Allocation &amp; Operating Plan'!I13</f>
        <v>0</v>
      </c>
      <c r="D12" s="688">
        <v>0</v>
      </c>
      <c r="E12" s="689">
        <v>0</v>
      </c>
      <c r="F12" s="688">
        <v>0</v>
      </c>
      <c r="G12" s="688">
        <f>D12+E12+F12</f>
        <v>0</v>
      </c>
      <c r="H12" s="688">
        <f>C12-G12</f>
        <v>0</v>
      </c>
      <c r="J12" s="280"/>
    </row>
    <row r="13" spans="1:12" ht="15" thickBot="1">
      <c r="A13" s="687">
        <v>2</v>
      </c>
      <c r="B13" s="687" t="s">
        <v>230</v>
      </c>
      <c r="C13" s="688">
        <f>'A2.Allocation &amp; Operating Plan'!E14+'A2.Allocation &amp; Operating Plan'!F14+'A2.Allocation &amp; Operating Plan'!G14+'A2.Allocation &amp; Operating Plan'!H14+'A2.Allocation &amp; Operating Plan'!I14</f>
        <v>0</v>
      </c>
      <c r="D13" s="688">
        <v>0</v>
      </c>
      <c r="E13" s="689">
        <v>0</v>
      </c>
      <c r="F13" s="688">
        <v>0</v>
      </c>
      <c r="G13" s="688">
        <f t="shared" ref="G13:G21" si="0">D13+E13+F13</f>
        <v>0</v>
      </c>
      <c r="H13" s="688">
        <f t="shared" ref="H13:H19" si="1">C13-G13</f>
        <v>0</v>
      </c>
      <c r="J13" s="280"/>
      <c r="K13" s="7"/>
      <c r="L13" s="7"/>
    </row>
    <row r="14" spans="1:12" ht="15" thickBot="1">
      <c r="A14" s="687">
        <v>3</v>
      </c>
      <c r="B14" s="687" t="s">
        <v>231</v>
      </c>
      <c r="C14" s="688">
        <f>'A2.Allocation &amp; Operating Plan'!E15+'A2.Allocation &amp; Operating Plan'!F15+'A2.Allocation &amp; Operating Plan'!G15+'A2.Allocation &amp; Operating Plan'!H15+'A2.Allocation &amp; Operating Plan'!I15</f>
        <v>0</v>
      </c>
      <c r="D14" s="688">
        <v>0</v>
      </c>
      <c r="E14" s="689">
        <v>0</v>
      </c>
      <c r="F14" s="688">
        <v>0</v>
      </c>
      <c r="G14" s="688">
        <f t="shared" si="0"/>
        <v>0</v>
      </c>
      <c r="H14" s="688">
        <f t="shared" si="1"/>
        <v>0</v>
      </c>
      <c r="J14" s="280"/>
    </row>
    <row r="15" spans="1:12" ht="15" thickBot="1">
      <c r="A15" s="687">
        <v>4</v>
      </c>
      <c r="B15" s="687" t="s">
        <v>232</v>
      </c>
      <c r="C15" s="688">
        <f>'A2.Allocation &amp; Operating Plan'!E16+'A2.Allocation &amp; Operating Plan'!F16+'A2.Allocation &amp; Operating Plan'!G16+'A2.Allocation &amp; Operating Plan'!H16+'A2.Allocation &amp; Operating Plan'!I16</f>
        <v>0</v>
      </c>
      <c r="D15" s="688">
        <v>0</v>
      </c>
      <c r="E15" s="689">
        <v>0</v>
      </c>
      <c r="F15" s="688">
        <v>0</v>
      </c>
      <c r="G15" s="688">
        <f t="shared" si="0"/>
        <v>0</v>
      </c>
      <c r="H15" s="688">
        <f t="shared" si="1"/>
        <v>0</v>
      </c>
      <c r="J15" s="280"/>
    </row>
    <row r="16" spans="1:12" ht="15" thickBot="1">
      <c r="A16" s="687">
        <v>5</v>
      </c>
      <c r="B16" s="687" t="s">
        <v>233</v>
      </c>
      <c r="C16" s="688">
        <f>'A2.Allocation &amp; Operating Plan'!E17+'A2.Allocation &amp; Operating Plan'!F17+'A2.Allocation &amp; Operating Plan'!G17+'A2.Allocation &amp; Operating Plan'!H17+'A2.Allocation &amp; Operating Plan'!I17</f>
        <v>0</v>
      </c>
      <c r="D16" s="688">
        <v>0</v>
      </c>
      <c r="E16" s="689">
        <v>0</v>
      </c>
      <c r="F16" s="688">
        <v>0</v>
      </c>
      <c r="G16" s="688">
        <f t="shared" si="0"/>
        <v>0</v>
      </c>
      <c r="H16" s="688">
        <f t="shared" si="1"/>
        <v>0</v>
      </c>
      <c r="J16" s="280"/>
    </row>
    <row r="17" spans="1:12" ht="15" thickBot="1">
      <c r="A17" s="687">
        <v>6</v>
      </c>
      <c r="B17" s="687" t="s">
        <v>234</v>
      </c>
      <c r="C17" s="688">
        <f>'A2.Allocation &amp; Operating Plan'!E18+'A2.Allocation &amp; Operating Plan'!F18+'A2.Allocation &amp; Operating Plan'!G18+'A2.Allocation &amp; Operating Plan'!H18+'A2.Allocation &amp; Operating Plan'!I18</f>
        <v>0</v>
      </c>
      <c r="D17" s="688">
        <v>0</v>
      </c>
      <c r="E17" s="689">
        <v>0</v>
      </c>
      <c r="F17" s="688">
        <v>0</v>
      </c>
      <c r="G17" s="688">
        <f t="shared" si="0"/>
        <v>0</v>
      </c>
      <c r="H17" s="688">
        <f t="shared" si="1"/>
        <v>0</v>
      </c>
      <c r="J17" s="280"/>
    </row>
    <row r="18" spans="1:12" ht="15" thickBot="1">
      <c r="A18" s="687">
        <v>7</v>
      </c>
      <c r="B18" s="687" t="s">
        <v>235</v>
      </c>
      <c r="C18" s="688">
        <f>'A2.Allocation &amp; Operating Plan'!E19+'A2.Allocation &amp; Operating Plan'!F19+'A2.Allocation &amp; Operating Plan'!G19+'A2.Allocation &amp; Operating Plan'!H19+'A2.Allocation &amp; Operating Plan'!I19</f>
        <v>0</v>
      </c>
      <c r="D18" s="688">
        <v>0</v>
      </c>
      <c r="E18" s="689">
        <v>0</v>
      </c>
      <c r="F18" s="688">
        <v>0</v>
      </c>
      <c r="G18" s="688">
        <f t="shared" si="0"/>
        <v>0</v>
      </c>
      <c r="H18" s="688">
        <f t="shared" si="1"/>
        <v>0</v>
      </c>
      <c r="J18" s="280"/>
    </row>
    <row r="19" spans="1:12" ht="29.5" thickBot="1">
      <c r="A19" s="687">
        <v>8</v>
      </c>
      <c r="B19" s="687" t="s">
        <v>88</v>
      </c>
      <c r="C19" s="688">
        <f>'A2.Allocation &amp; Operating Plan'!E21+'A2.Allocation &amp; Operating Plan'!F21+'A2.Allocation &amp; Operating Plan'!G21+'A2.Allocation &amp; Operating Plan'!H21+'A2.Allocation &amp; Operating Plan'!I21</f>
        <v>0</v>
      </c>
      <c r="D19" s="688">
        <v>0</v>
      </c>
      <c r="E19" s="689">
        <v>0</v>
      </c>
      <c r="F19" s="688">
        <v>0</v>
      </c>
      <c r="G19" s="688">
        <f t="shared" si="0"/>
        <v>0</v>
      </c>
      <c r="H19" s="688">
        <f t="shared" si="1"/>
        <v>0</v>
      </c>
      <c r="J19" s="280"/>
    </row>
    <row r="20" spans="1:12" ht="20.5" thickBot="1">
      <c r="A20" s="687">
        <v>9</v>
      </c>
      <c r="B20" s="687" t="s">
        <v>236</v>
      </c>
      <c r="C20" s="688">
        <v>0</v>
      </c>
      <c r="D20" s="688">
        <v>0</v>
      </c>
      <c r="E20" s="690">
        <f>ROUND('A7. 2025 CWELCC &amp; OTEF Recon'!E74-'A7. 2025 CWELCC &amp; OTEF Recon'!E64,2)</f>
        <v>0</v>
      </c>
      <c r="F20" s="688">
        <v>0</v>
      </c>
      <c r="G20" s="688">
        <f t="shared" si="0"/>
        <v>0</v>
      </c>
      <c r="H20" s="688">
        <f>C20-E20</f>
        <v>0</v>
      </c>
      <c r="J20" s="280"/>
    </row>
    <row r="21" spans="1:12" ht="15" thickBot="1">
      <c r="A21" s="687">
        <v>10</v>
      </c>
      <c r="B21" s="687" t="s">
        <v>91</v>
      </c>
      <c r="C21" s="688">
        <v>0</v>
      </c>
      <c r="D21" s="688">
        <v>0</v>
      </c>
      <c r="E21" s="688">
        <v>0</v>
      </c>
      <c r="F21" s="688">
        <v>0</v>
      </c>
      <c r="G21" s="688">
        <f t="shared" si="0"/>
        <v>0</v>
      </c>
      <c r="H21" s="688">
        <f>C21-E21</f>
        <v>0</v>
      </c>
      <c r="J21" s="280"/>
    </row>
    <row r="22" spans="1:12" ht="15" thickBot="1">
      <c r="A22" s="687"/>
      <c r="B22" s="687" t="s">
        <v>87</v>
      </c>
      <c r="C22" s="691">
        <f t="shared" ref="C22:G22" si="2">SUM(C12:C21)</f>
        <v>0</v>
      </c>
      <c r="D22" s="691">
        <f t="shared" si="2"/>
        <v>0</v>
      </c>
      <c r="E22" s="691">
        <f t="shared" si="2"/>
        <v>0</v>
      </c>
      <c r="F22" s="691">
        <f t="shared" si="2"/>
        <v>0</v>
      </c>
      <c r="G22" s="691">
        <f t="shared" si="2"/>
        <v>0</v>
      </c>
      <c r="H22" s="692">
        <f>MAX(0,ROUND(SUM(H12:H21),2))</f>
        <v>0</v>
      </c>
      <c r="J22" s="280"/>
      <c r="K22" s="57"/>
      <c r="L22" s="280"/>
    </row>
    <row r="23" spans="1:12">
      <c r="A23" s="8"/>
      <c r="B23" s="8"/>
      <c r="C23" s="693"/>
      <c r="D23" s="693"/>
      <c r="E23" s="693"/>
      <c r="F23" s="693"/>
      <c r="G23" s="693"/>
      <c r="H23" s="693"/>
      <c r="J23" s="57"/>
      <c r="K23" s="280"/>
    </row>
    <row r="24" spans="1:12">
      <c r="A24" s="8"/>
      <c r="B24" s="8"/>
      <c r="C24" s="693"/>
      <c r="D24" s="693"/>
      <c r="E24" s="693"/>
      <c r="F24" s="693"/>
      <c r="G24" s="693"/>
      <c r="H24" s="693"/>
      <c r="J24" s="280"/>
      <c r="K24" s="57"/>
    </row>
    <row r="25" spans="1:12" ht="15" thickBot="1">
      <c r="A25" s="8"/>
      <c r="B25" s="8"/>
      <c r="C25" s="693"/>
      <c r="D25" s="693"/>
      <c r="E25" s="693"/>
      <c r="F25" s="693"/>
      <c r="G25" s="693"/>
      <c r="H25" s="693"/>
      <c r="K25" s="280"/>
    </row>
    <row r="26" spans="1:12" ht="21.5" thickBot="1">
      <c r="A26" s="8"/>
      <c r="B26" s="1227" t="s">
        <v>332</v>
      </c>
      <c r="C26" s="1228"/>
      <c r="D26" s="1228"/>
      <c r="E26" s="1228"/>
      <c r="F26" s="1228"/>
      <c r="G26" s="1228"/>
      <c r="H26" s="1229"/>
    </row>
    <row r="27" spans="1:12" ht="21">
      <c r="A27" s="8"/>
      <c r="B27" s="694"/>
      <c r="C27" s="694"/>
      <c r="D27" s="694"/>
      <c r="E27" s="694"/>
      <c r="F27" s="694"/>
      <c r="G27" s="694"/>
      <c r="H27" s="693"/>
    </row>
    <row r="28" spans="1:12" ht="15" thickBot="1">
      <c r="K28" s="57"/>
    </row>
    <row r="29" spans="1:12" ht="58.5" thickBot="1">
      <c r="A29" s="685" t="s">
        <v>222</v>
      </c>
      <c r="B29" s="686" t="s">
        <v>223</v>
      </c>
      <c r="C29" s="686" t="s">
        <v>224</v>
      </c>
      <c r="D29" s="686" t="s">
        <v>225</v>
      </c>
      <c r="E29" s="686" t="s">
        <v>226</v>
      </c>
      <c r="F29" s="686" t="s">
        <v>227</v>
      </c>
      <c r="G29" s="686" t="s">
        <v>228</v>
      </c>
      <c r="H29" s="686" t="s">
        <v>229</v>
      </c>
      <c r="J29" s="280"/>
    </row>
    <row r="30" spans="1:12" ht="20.5" thickBot="1">
      <c r="A30" s="687">
        <v>1</v>
      </c>
      <c r="B30" s="687" t="s">
        <v>237</v>
      </c>
      <c r="C30" s="688">
        <f>'A2.Allocation &amp; Operating Plan'!E23+'A2.Allocation &amp; Operating Plan'!F23+'A2.Allocation &amp; Operating Plan'!G23+'A2.Allocation &amp; Operating Plan'!H23+'A2.Allocation &amp; Operating Plan'!I23</f>
        <v>0</v>
      </c>
      <c r="D30" s="688">
        <v>0</v>
      </c>
      <c r="E30" s="690">
        <f>ROUND('A7. 2025 CWELCC &amp; OTEF Recon'!E64,2)</f>
        <v>0</v>
      </c>
      <c r="F30" s="688">
        <v>0</v>
      </c>
      <c r="G30" s="688">
        <v>0</v>
      </c>
      <c r="H30" s="695">
        <f>C30-E30</f>
        <v>0</v>
      </c>
      <c r="J30" s="696"/>
      <c r="K30" s="578"/>
      <c r="L30" s="280"/>
    </row>
    <row r="31" spans="1:12">
      <c r="J31" s="280"/>
    </row>
    <row r="32" spans="1:12" ht="15" thickBot="1"/>
    <row r="33" spans="1:13" ht="21.5" thickBot="1">
      <c r="B33" s="1227" t="s">
        <v>333</v>
      </c>
      <c r="C33" s="1228"/>
      <c r="D33" s="1228"/>
      <c r="E33" s="1228"/>
      <c r="F33" s="1228"/>
      <c r="G33" s="1228"/>
      <c r="H33" s="1229"/>
    </row>
    <row r="34" spans="1:13" ht="15" thickBot="1"/>
    <row r="35" spans="1:13" ht="58.5" thickBot="1">
      <c r="A35" s="697" t="s">
        <v>222</v>
      </c>
      <c r="B35" s="686" t="s">
        <v>223</v>
      </c>
      <c r="C35" s="686" t="s">
        <v>224</v>
      </c>
      <c r="D35" s="686" t="s">
        <v>225</v>
      </c>
      <c r="E35" s="686" t="s">
        <v>226</v>
      </c>
      <c r="F35" s="686" t="s">
        <v>227</v>
      </c>
      <c r="G35" s="686" t="s">
        <v>228</v>
      </c>
      <c r="H35" s="686" t="s">
        <v>229</v>
      </c>
    </row>
    <row r="36" spans="1:13" ht="20.5" thickBot="1">
      <c r="A36" s="698">
        <v>1</v>
      </c>
      <c r="B36" s="699" t="s">
        <v>403</v>
      </c>
      <c r="C36" s="688">
        <f>'A3. Peel Region Grants'!C111</f>
        <v>0</v>
      </c>
      <c r="D36" s="688">
        <v>0</v>
      </c>
      <c r="E36" s="690">
        <f>IF(C36&lt;'A7. 2025 CWELCC &amp; OTEF Recon'!C118,C36,'A7. 2025 CWELCC &amp; OTEF Recon'!C118)</f>
        <v>0</v>
      </c>
      <c r="F36" s="688">
        <v>0</v>
      </c>
      <c r="G36" s="688">
        <v>0</v>
      </c>
      <c r="H36" s="695">
        <f>C36-E36</f>
        <v>0</v>
      </c>
      <c r="I36" s="700" t="str">
        <f>'A7. 2025 CWELCC &amp; OTEF Recon'!B45</f>
        <v xml:space="preserve"> </v>
      </c>
    </row>
    <row r="37" spans="1:13" ht="20.5" thickBot="1">
      <c r="A37" s="701">
        <v>2</v>
      </c>
      <c r="B37" s="699" t="s">
        <v>402</v>
      </c>
      <c r="C37" s="688">
        <f>'A3. Peel Region Grants'!C70</f>
        <v>0</v>
      </c>
      <c r="D37" s="688">
        <v>0</v>
      </c>
      <c r="E37" s="690">
        <f>MIN('A3. Peel Region Grants'!C84,C37)</f>
        <v>0</v>
      </c>
      <c r="F37" s="688">
        <v>0</v>
      </c>
      <c r="G37" s="688">
        <v>0</v>
      </c>
      <c r="H37" s="695">
        <f>C37-E37</f>
        <v>0</v>
      </c>
      <c r="I37" s="700" t="str">
        <f>IF(E37='A3. Peel Region Grants'!C70," ",IF('A3. Peel Region Grants'!C54="No","Please complete the GovGrants reconciliation when the project is complete, using tab a3 OTEF major capital section", " "))</f>
        <v xml:space="preserve"> </v>
      </c>
      <c r="J37" s="700"/>
      <c r="K37" s="700"/>
      <c r="L37" s="700"/>
      <c r="M37" s="700"/>
    </row>
  </sheetData>
  <sheetProtection algorithmName="SHA-512" hashValue="ZmvaY7zwi3OGL85lcYfRJ8GHlIkMWS5Jm0ZdDThdLredwBhMeemPh93A7yDkh25Fea4rZ0cmtI+Zv6MiQGhpnA==" saltValue="ZwnVqcdA846U72lfnR88Kw==" spinCount="100000" sheet="1" objects="1" scenarios="1"/>
  <mergeCells count="6">
    <mergeCell ref="B1:H1"/>
    <mergeCell ref="B33:H33"/>
    <mergeCell ref="B3:H3"/>
    <mergeCell ref="B4:H4"/>
    <mergeCell ref="B8:H8"/>
    <mergeCell ref="B26:H26"/>
  </mergeCells>
  <conditionalFormatting sqref="H20">
    <cfRule type="cellIs" dxfId="19" priority="1" operator="lessThan">
      <formula>0</formula>
    </cfRule>
  </conditionalFormatting>
  <pageMargins left="0.75" right="0.75" top="1" bottom="1" header="0.5" footer="0.5"/>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33F29-6C00-414F-99EE-F47059B976C6}">
  <sheetPr>
    <tabColor theme="4" tint="0.59999389629810485"/>
  </sheetPr>
  <dimension ref="B1:P45"/>
  <sheetViews>
    <sheetView showGridLines="0" workbookViewId="0">
      <selection activeCell="C25" sqref="C25"/>
    </sheetView>
  </sheetViews>
  <sheetFormatPr defaultColWidth="9.1796875" defaultRowHeight="14.5"/>
  <cols>
    <col min="1" max="1" width="5.453125" customWidth="1"/>
    <col min="2" max="2" width="43.26953125" customWidth="1"/>
    <col min="3" max="3" width="18.54296875" customWidth="1"/>
    <col min="4" max="4" width="16.453125" customWidth="1"/>
    <col min="5" max="5" width="19.26953125" customWidth="1"/>
    <col min="6" max="6" width="14.7265625" customWidth="1"/>
    <col min="7" max="7" width="17.26953125" bestFit="1" customWidth="1"/>
    <col min="8" max="8" width="19.26953125" customWidth="1"/>
    <col min="10" max="10" width="14.26953125" bestFit="1" customWidth="1"/>
    <col min="11" max="11" width="11.7265625" customWidth="1"/>
    <col min="13" max="13" width="12" customWidth="1"/>
  </cols>
  <sheetData>
    <row r="1" spans="2:11" ht="26">
      <c r="B1" s="1233" t="s">
        <v>843</v>
      </c>
      <c r="C1" s="1226"/>
      <c r="D1" s="1226"/>
      <c r="E1" s="1226"/>
      <c r="F1" s="1226"/>
      <c r="G1" s="109" t="s">
        <v>109</v>
      </c>
      <c r="H1" s="110" t="str">
        <f>IF('A1. Identification'!$D$13=0, " ",'A1. Identification'!$D$13)</f>
        <v xml:space="preserve"> </v>
      </c>
    </row>
    <row r="2" spans="2:11" ht="26.5" thickBot="1">
      <c r="B2" s="1213" t="s">
        <v>844</v>
      </c>
      <c r="C2" s="1214"/>
      <c r="D2" s="1214"/>
      <c r="E2" s="1214"/>
      <c r="F2" s="1214"/>
      <c r="G2" s="887"/>
      <c r="H2" s="888"/>
    </row>
    <row r="3" spans="2:11" ht="24" customHeight="1"/>
    <row r="4" spans="2:11" ht="23.5">
      <c r="B4" s="1221" t="str">
        <f>IF('A1. Identification'!D7=0, "2025 FAIR, CWELCC and OTEF Reconciliation for Multi Site Operators",'A1. Identification'!D7)</f>
        <v>2025 FAIR, CWELCC and OTEF Reconciliation for Multi Site Operators</v>
      </c>
      <c r="C4" s="1222"/>
      <c r="D4" s="1222"/>
      <c r="E4" s="1222"/>
      <c r="F4" s="1222"/>
    </row>
    <row r="5" spans="2:11" ht="23.5">
      <c r="B5" s="1221" t="s">
        <v>806</v>
      </c>
      <c r="C5" s="1222"/>
      <c r="D5" s="1222"/>
      <c r="E5" s="1222"/>
      <c r="F5" s="1222"/>
    </row>
    <row r="6" spans="2:11" ht="23.5">
      <c r="B6" s="1221" t="s">
        <v>935</v>
      </c>
      <c r="C6" s="1222"/>
      <c r="D6" s="1222"/>
      <c r="E6" s="1222"/>
      <c r="F6" s="1222"/>
    </row>
    <row r="7" spans="2:11" ht="23.5">
      <c r="B7" s="592"/>
      <c r="C7" s="592"/>
      <c r="D7" s="592"/>
      <c r="E7" s="592"/>
      <c r="F7" s="592"/>
    </row>
    <row r="8" spans="2:11" ht="16.5" customHeight="1">
      <c r="B8" s="1134" t="s">
        <v>936</v>
      </c>
      <c r="C8" s="1134"/>
      <c r="D8" s="1134"/>
      <c r="E8" s="1134"/>
      <c r="F8" s="1134"/>
    </row>
    <row r="9" spans="2:11" ht="35.25" customHeight="1">
      <c r="B9" s="1134"/>
      <c r="C9" s="1134"/>
      <c r="D9" s="1134"/>
      <c r="E9" s="1134"/>
      <c r="F9" s="1134"/>
    </row>
    <row r="10" spans="2:11" ht="21" customHeight="1" thickBot="1">
      <c r="B10" s="702"/>
      <c r="C10" s="702"/>
      <c r="D10" s="702"/>
      <c r="E10" s="702"/>
      <c r="F10" s="703"/>
    </row>
    <row r="11" spans="2:11" ht="27" customHeight="1" thickBot="1">
      <c r="B11" s="704" t="s">
        <v>208</v>
      </c>
      <c r="C11" s="704" t="s">
        <v>209</v>
      </c>
      <c r="D11" s="705" t="s">
        <v>210</v>
      </c>
      <c r="E11" s="706" t="s">
        <v>211</v>
      </c>
      <c r="F11" s="707" t="s">
        <v>337</v>
      </c>
      <c r="H11" s="57"/>
      <c r="J11" s="57"/>
      <c r="K11" s="57"/>
    </row>
    <row r="12" spans="2:11" ht="15.5">
      <c r="B12" s="708" t="s">
        <v>212</v>
      </c>
      <c r="C12" s="709"/>
      <c r="D12" s="710"/>
      <c r="E12" s="711"/>
      <c r="F12" s="712"/>
    </row>
    <row r="13" spans="2:11" ht="15.5">
      <c r="B13" s="713" t="s">
        <v>213</v>
      </c>
      <c r="C13" s="732">
        <f>'A2.Allocation &amp; Operating Plan'!E22+'A2.Allocation &amp; Operating Plan'!F22+'A2.Allocation &amp; Operating Plan'!G22+'A2.Allocation &amp; Operating Plan'!H22+'A2.Allocation &amp; Operating Plan'!I22</f>
        <v>0</v>
      </c>
      <c r="D13" s="715">
        <f>MIN('A7. 2025 CWELCC &amp; OTEF Recon'!E74-'A7. 2025 CWELCC &amp; OTEF Recon'!E64,C13)</f>
        <v>0</v>
      </c>
      <c r="E13" s="716">
        <f>ROUND(C13-D13,2)</f>
        <v>0</v>
      </c>
      <c r="F13" s="717"/>
      <c r="H13" s="57"/>
    </row>
    <row r="14" spans="2:11" ht="15.5">
      <c r="B14" s="713" t="s">
        <v>214</v>
      </c>
      <c r="C14" s="732">
        <f>'A2.Allocation &amp; Operating Plan'!E23+'A2.Allocation &amp; Operating Plan'!F23+'A2.Allocation &amp; Operating Plan'!G23+'A2.Allocation &amp; Operating Plan'!H23+'A2.Allocation &amp; Operating Plan'!I23</f>
        <v>0</v>
      </c>
      <c r="D14" s="715">
        <f>MIN('A7. 2025 CWELCC &amp; OTEF Recon'!E64,C14)</f>
        <v>0</v>
      </c>
      <c r="E14" s="716">
        <f>ROUND(C14-D14,2)</f>
        <v>0</v>
      </c>
      <c r="F14" s="717"/>
      <c r="G14" s="700" t="str">
        <f>IF(E14&gt;0,"* In Lieu of Profit/Surplus recovery resulting from underspending of Program Cost Allocation"," ")</f>
        <v xml:space="preserve"> </v>
      </c>
      <c r="H14" s="57"/>
    </row>
    <row r="15" spans="2:11" ht="15.5">
      <c r="B15" s="713" t="s">
        <v>376</v>
      </c>
      <c r="C15" s="714">
        <f>'A3. Peel Region Grants'!C111</f>
        <v>0</v>
      </c>
      <c r="D15" s="715">
        <f>IFERROR(MIN('A7. 2025 CWELCC &amp; OTEF Recon'!C118,C15),0)</f>
        <v>0</v>
      </c>
      <c r="E15" s="716">
        <f>C15-D15</f>
        <v>0</v>
      </c>
      <c r="F15" s="718"/>
      <c r="G15" s="700" t="str">
        <f>'A8. GovGrants input'!I36</f>
        <v xml:space="preserve"> </v>
      </c>
      <c r="H15" s="57"/>
    </row>
    <row r="16" spans="2:11" ht="16" thickBot="1">
      <c r="B16" s="719" t="s">
        <v>215</v>
      </c>
      <c r="C16" s="720">
        <f>SUM(C13:C15)</f>
        <v>0</v>
      </c>
      <c r="D16" s="721">
        <f>SUM(D13:D15)</f>
        <v>0</v>
      </c>
      <c r="E16" s="722">
        <f>SUM(E13:E15)</f>
        <v>0</v>
      </c>
      <c r="F16" s="718"/>
      <c r="H16" s="57"/>
    </row>
    <row r="17" spans="2:16" ht="16" thickBot="1">
      <c r="B17" s="723" t="s">
        <v>216</v>
      </c>
      <c r="C17" s="724">
        <f>'A3. Peel Region Grants'!C153</f>
        <v>0</v>
      </c>
      <c r="D17" s="725">
        <f>MIN('A3. Peel Region Grants'!D153,C17)</f>
        <v>0</v>
      </c>
      <c r="E17" s="724">
        <f>C17-D17</f>
        <v>0</v>
      </c>
      <c r="F17" s="726"/>
      <c r="G17" s="7"/>
      <c r="H17" s="57"/>
      <c r="I17" s="7"/>
      <c r="J17" s="7"/>
      <c r="K17" s="7"/>
    </row>
    <row r="18" spans="2:16" ht="14.25" customHeight="1" thickBot="1">
      <c r="B18" s="723" t="s">
        <v>391</v>
      </c>
      <c r="C18" s="724">
        <f>'A3. Peel Region Grants'!D40</f>
        <v>0</v>
      </c>
      <c r="D18" s="725">
        <f>MIN('A3. Peel Region Grants'!E40,C18)</f>
        <v>0</v>
      </c>
      <c r="E18" s="724">
        <f>C18-D18</f>
        <v>0</v>
      </c>
      <c r="F18" s="726"/>
      <c r="H18" s="57"/>
    </row>
    <row r="19" spans="2:16" ht="16" thickBot="1">
      <c r="B19" s="723" t="s">
        <v>347</v>
      </c>
      <c r="C19" s="724">
        <f>'A3. Peel Region Grants'!C133</f>
        <v>0</v>
      </c>
      <c r="D19" s="725">
        <f>MIN('A3. Peel Region Grants'!D133,C19)</f>
        <v>0</v>
      </c>
      <c r="E19" s="724">
        <f>C19-D19</f>
        <v>0</v>
      </c>
      <c r="F19" s="726"/>
      <c r="H19" s="57"/>
    </row>
    <row r="20" spans="2:16" ht="15.5">
      <c r="B20" s="708" t="s">
        <v>338</v>
      </c>
      <c r="C20" s="727"/>
      <c r="D20" s="728"/>
      <c r="E20" s="729"/>
      <c r="F20" s="712"/>
      <c r="H20" s="57"/>
    </row>
    <row r="21" spans="2:16" ht="15.5">
      <c r="B21" s="713" t="s">
        <v>339</v>
      </c>
      <c r="C21" s="730">
        <f>'A3. Peel Region Grants'!C144</f>
        <v>0</v>
      </c>
      <c r="D21" s="730">
        <f>MIN('A3. Peel Region Grants'!D144,C21)</f>
        <v>0</v>
      </c>
      <c r="E21" s="730">
        <f>'A3. Peel Region Grants'!E144</f>
        <v>0</v>
      </c>
      <c r="F21" s="731">
        <f>'A3. Peel Region Grants'!F144</f>
        <v>0</v>
      </c>
      <c r="H21" s="57"/>
    </row>
    <row r="22" spans="2:16" ht="15.5">
      <c r="B22" s="713" t="s">
        <v>340</v>
      </c>
      <c r="C22" s="732">
        <f>'A3. Peel Region Grants'!C70</f>
        <v>0</v>
      </c>
      <c r="D22" s="733">
        <f>MIN('A3. Peel Region Grants'!I84,C22)</f>
        <v>0</v>
      </c>
      <c r="E22" s="734">
        <f>IF(F22&gt;1,0,C22-D22)</f>
        <v>0</v>
      </c>
      <c r="F22" s="735">
        <f>'A3. Peel Region Grants'!I76</f>
        <v>0</v>
      </c>
      <c r="G22" s="700"/>
      <c r="H22" s="57"/>
    </row>
    <row r="23" spans="2:16" ht="16" thickBot="1">
      <c r="B23" s="719" t="s">
        <v>478</v>
      </c>
      <c r="C23" s="720">
        <f>SUM(C21:C22)</f>
        <v>0</v>
      </c>
      <c r="D23" s="721">
        <f>SUM(D21:D22)</f>
        <v>0</v>
      </c>
      <c r="E23" s="722">
        <f>SUM(E21:E22)</f>
        <v>0</v>
      </c>
      <c r="F23" s="721">
        <f>SUM(F21:F22)</f>
        <v>0</v>
      </c>
      <c r="H23" s="57"/>
    </row>
    <row r="24" spans="2:16" ht="15.5">
      <c r="B24" s="736" t="s">
        <v>217</v>
      </c>
      <c r="C24" s="737"/>
      <c r="D24" s="738"/>
      <c r="E24" s="739"/>
      <c r="F24" s="740"/>
      <c r="H24" s="57"/>
      <c r="P24" s="741"/>
    </row>
    <row r="25" spans="2:16" ht="15.5">
      <c r="B25" s="745" t="s">
        <v>377</v>
      </c>
      <c r="C25" s="861"/>
      <c r="D25" s="862"/>
      <c r="E25" s="863"/>
      <c r="F25" s="862"/>
      <c r="H25" s="57"/>
    </row>
    <row r="26" spans="2:16" ht="16" thickBot="1">
      <c r="B26" s="742" t="s">
        <v>341</v>
      </c>
      <c r="C26" s="743">
        <f>++C23+C16+C17+C18+C19+C25</f>
        <v>0</v>
      </c>
      <c r="D26" s="743">
        <f>++D23+D16+D17+D18+D19+D25</f>
        <v>0</v>
      </c>
      <c r="E26" s="743">
        <f>++E23+E16+E17+E18+E19+E25</f>
        <v>0</v>
      </c>
      <c r="F26" s="744">
        <f>F25+F23</f>
        <v>0</v>
      </c>
      <c r="H26" s="57"/>
    </row>
    <row r="27" spans="2:16" ht="15.5">
      <c r="B27" s="14"/>
      <c r="C27" s="14"/>
      <c r="D27" s="14"/>
      <c r="E27" s="14"/>
      <c r="F27" s="14"/>
    </row>
    <row r="28" spans="2:16" ht="15.5">
      <c r="B28" s="14"/>
      <c r="C28" s="14"/>
      <c r="D28" s="14"/>
      <c r="E28" s="14"/>
      <c r="F28" s="14"/>
    </row>
    <row r="29" spans="2:16" ht="15.5">
      <c r="B29" s="14"/>
      <c r="C29" s="14"/>
      <c r="D29" s="14"/>
      <c r="E29" s="14"/>
      <c r="F29" s="14"/>
    </row>
    <row r="30" spans="2:16" ht="15.5">
      <c r="B30" s="14"/>
      <c r="C30" s="14"/>
      <c r="D30" s="14"/>
      <c r="E30" s="14"/>
      <c r="F30" s="14"/>
    </row>
    <row r="31" spans="2:16" ht="15.5">
      <c r="B31" s="14"/>
      <c r="C31" s="14"/>
      <c r="D31" s="14"/>
      <c r="E31" s="14"/>
      <c r="F31" s="14"/>
    </row>
    <row r="32" spans="2:16" ht="15.5">
      <c r="B32" s="14"/>
      <c r="C32" s="14"/>
      <c r="D32" s="14"/>
      <c r="E32" s="14"/>
      <c r="F32" s="14"/>
    </row>
    <row r="33" spans="2:6" ht="15.5">
      <c r="B33" s="14"/>
      <c r="C33" s="14"/>
      <c r="D33" s="14"/>
      <c r="E33" s="14"/>
      <c r="F33" s="14"/>
    </row>
    <row r="34" spans="2:6" ht="15.5">
      <c r="B34" s="14"/>
      <c r="C34" s="14"/>
      <c r="D34" s="14"/>
      <c r="E34" s="14"/>
      <c r="F34" s="14"/>
    </row>
    <row r="35" spans="2:6" ht="15.5">
      <c r="B35" s="14"/>
      <c r="C35" s="14"/>
      <c r="D35" s="14"/>
      <c r="E35" s="14"/>
      <c r="F35" s="14"/>
    </row>
    <row r="36" spans="2:6" ht="15.5">
      <c r="B36" s="14"/>
      <c r="C36" s="14"/>
      <c r="D36" s="14"/>
      <c r="E36" s="14"/>
      <c r="F36" s="14"/>
    </row>
    <row r="37" spans="2:6" ht="15.5">
      <c r="B37" s="14"/>
      <c r="C37" s="14"/>
      <c r="D37" s="14"/>
      <c r="E37" s="14"/>
      <c r="F37" s="14"/>
    </row>
    <row r="38" spans="2:6" ht="15.5">
      <c r="B38" s="14"/>
      <c r="C38" s="14"/>
      <c r="D38" s="14"/>
      <c r="E38" s="14"/>
      <c r="F38" s="14"/>
    </row>
    <row r="39" spans="2:6" ht="15.5">
      <c r="B39" s="14"/>
      <c r="C39" s="14"/>
      <c r="D39" s="14"/>
      <c r="E39" s="14"/>
      <c r="F39" s="14"/>
    </row>
    <row r="40" spans="2:6" ht="15.5">
      <c r="B40" s="14"/>
      <c r="C40" s="14"/>
      <c r="D40" s="14"/>
      <c r="E40" s="14"/>
      <c r="F40" s="14"/>
    </row>
    <row r="41" spans="2:6" ht="15.5">
      <c r="B41" s="14"/>
      <c r="C41" s="14"/>
      <c r="D41" s="14"/>
      <c r="E41" s="14"/>
      <c r="F41" s="14"/>
    </row>
    <row r="42" spans="2:6" ht="15.5">
      <c r="B42" s="14"/>
      <c r="C42" s="14"/>
      <c r="D42" s="14"/>
      <c r="E42" s="14"/>
      <c r="F42" s="14"/>
    </row>
    <row r="43" spans="2:6" ht="15.5">
      <c r="B43" s="14"/>
      <c r="C43" s="14"/>
      <c r="D43" s="14"/>
      <c r="E43" s="14"/>
      <c r="F43" s="14"/>
    </row>
    <row r="44" spans="2:6" ht="15.5">
      <c r="B44" s="14"/>
      <c r="C44" s="14"/>
      <c r="D44" s="14"/>
      <c r="E44" s="14"/>
      <c r="F44" s="14"/>
    </row>
    <row r="45" spans="2:6" ht="15.5">
      <c r="B45" s="14"/>
      <c r="C45" s="14"/>
      <c r="D45" s="14"/>
      <c r="E45" s="14"/>
      <c r="F45" s="14"/>
    </row>
  </sheetData>
  <sheetProtection algorithmName="SHA-512" hashValue="bkDB/hS4M0COkyp5nP/4ig+C5P36J5OAAxzLFHHkWt3Vnkw1VlFRThyw5LHclbJb9fQwhU0Mb2UxLm2sIOk9uw==" saltValue="wPwCLz/muR8s2gRlO5c1jA==" spinCount="100000" sheet="1" objects="1" scenarios="1"/>
  <mergeCells count="6">
    <mergeCell ref="B4:F4"/>
    <mergeCell ref="B6:F6"/>
    <mergeCell ref="B8:F9"/>
    <mergeCell ref="B5:F5"/>
    <mergeCell ref="B1:F1"/>
    <mergeCell ref="B2: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65AA1-CB56-45EB-9722-7C9DB6DFE908}">
  <sheetPr>
    <tabColor theme="4" tint="0.59999389629810485"/>
  </sheetPr>
  <dimension ref="A1:C6"/>
  <sheetViews>
    <sheetView showGridLines="0" zoomScaleNormal="100" workbookViewId="0">
      <selection activeCell="C30" sqref="C30"/>
    </sheetView>
  </sheetViews>
  <sheetFormatPr defaultColWidth="8.7265625" defaultRowHeight="15.5"/>
  <cols>
    <col min="1" max="1" width="76.54296875" style="118" customWidth="1"/>
    <col min="2" max="2" width="95" style="118" customWidth="1"/>
    <col min="3" max="3" width="144.54296875" style="118" customWidth="1"/>
    <col min="4" max="16384" width="8.7265625" style="118"/>
  </cols>
  <sheetData>
    <row r="1" spans="1:3" ht="26.5" thickBot="1">
      <c r="A1" s="1219" t="s">
        <v>734</v>
      </c>
      <c r="B1" s="1220"/>
      <c r="C1" s="1234"/>
    </row>
    <row r="3" spans="1:3">
      <c r="A3" s="120" t="s">
        <v>85</v>
      </c>
      <c r="B3" t="s">
        <v>937</v>
      </c>
    </row>
    <row r="4" spans="1:3">
      <c r="A4" s="120"/>
      <c r="B4" s="121" t="s">
        <v>938</v>
      </c>
    </row>
    <row r="5" spans="1:3">
      <c r="A5" s="909"/>
      <c r="B5" s="14"/>
      <c r="C5" s="908"/>
    </row>
    <row r="6" spans="1:3">
      <c r="A6" s="119"/>
      <c r="B6" s="14"/>
      <c r="C6" s="119"/>
    </row>
  </sheetData>
  <sheetProtection sheet="1" objects="1" scenarios="1"/>
  <mergeCells count="1">
    <mergeCell ref="A1:C1"/>
  </mergeCell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46CF2-77C3-4951-AF3B-9079D4E9D760}">
  <sheetPr>
    <tabColor rgb="FFFFC000"/>
  </sheetPr>
  <dimension ref="A1:V97"/>
  <sheetViews>
    <sheetView showGridLines="0" topLeftCell="A59" zoomScale="85" zoomScaleNormal="85" workbookViewId="0">
      <selection activeCell="F75" sqref="F75"/>
    </sheetView>
  </sheetViews>
  <sheetFormatPr defaultColWidth="9.1796875" defaultRowHeight="14.5"/>
  <cols>
    <col min="3" max="3" width="95.26953125" bestFit="1" customWidth="1"/>
    <col min="4" max="4" width="6.7265625" bestFit="1" customWidth="1"/>
    <col min="5" max="5" width="8.26953125" customWidth="1"/>
    <col min="6" max="6" width="31.1796875" customWidth="1"/>
    <col min="7" max="7" width="2.54296875" customWidth="1"/>
    <col min="8" max="8" width="6.54296875" customWidth="1"/>
    <col min="9" max="9" width="27.453125" customWidth="1"/>
    <col min="11" max="11" width="17.7265625" customWidth="1"/>
    <col min="12" max="12" width="11.1796875" customWidth="1"/>
  </cols>
  <sheetData>
    <row r="1" spans="1:12" ht="26">
      <c r="A1" s="1210" t="s">
        <v>734</v>
      </c>
      <c r="B1" s="1210"/>
      <c r="C1" s="1210"/>
      <c r="D1" s="1210"/>
      <c r="E1" s="1210"/>
      <c r="F1" s="1210"/>
      <c r="G1" s="1210"/>
      <c r="H1" s="1210"/>
      <c r="I1" s="1210"/>
      <c r="K1" s="109" t="s">
        <v>109</v>
      </c>
      <c r="L1" s="110" t="str">
        <f>IF('A1. Identification'!$D$13=0, " ",'A1. Identification'!$D$13)</f>
        <v xml:space="preserve"> </v>
      </c>
    </row>
    <row r="2" spans="1:12" ht="17.25" customHeight="1">
      <c r="K2" s="890"/>
      <c r="L2" s="891"/>
    </row>
    <row r="3" spans="1:12" ht="22.5">
      <c r="A3" s="122" t="s">
        <v>487</v>
      </c>
      <c r="B3" s="123"/>
      <c r="C3" s="124"/>
      <c r="D3" s="124"/>
      <c r="E3" s="124"/>
      <c r="F3" s="125"/>
      <c r="G3" s="125"/>
      <c r="H3" s="125"/>
      <c r="I3" s="126"/>
    </row>
    <row r="4" spans="1:12" ht="20">
      <c r="A4" s="752"/>
      <c r="B4" s="127"/>
      <c r="C4" s="753"/>
      <c r="D4" s="753"/>
      <c r="E4" s="753"/>
      <c r="F4" s="128"/>
      <c r="G4" s="129"/>
      <c r="H4" s="129"/>
    </row>
    <row r="5" spans="1:12" ht="15.5">
      <c r="A5" s="127"/>
      <c r="B5" s="127"/>
      <c r="C5" s="754"/>
      <c r="D5" s="754"/>
      <c r="E5" s="754"/>
      <c r="F5" s="130"/>
      <c r="G5" s="131"/>
      <c r="H5" s="131"/>
      <c r="I5" s="1"/>
    </row>
    <row r="6" spans="1:12" ht="17.5">
      <c r="A6" s="1"/>
      <c r="B6" s="132" t="s">
        <v>488</v>
      </c>
      <c r="C6" s="133"/>
      <c r="D6" s="133"/>
      <c r="E6" s="133"/>
      <c r="F6" s="130"/>
      <c r="G6" s="131"/>
      <c r="H6" s="131"/>
      <c r="I6" s="1"/>
    </row>
    <row r="7" spans="1:12" ht="15.5">
      <c r="A7" s="1"/>
      <c r="B7" s="755" t="s">
        <v>489</v>
      </c>
      <c r="C7" s="133"/>
      <c r="D7" s="133"/>
      <c r="E7" s="133"/>
      <c r="F7" s="130"/>
      <c r="G7" s="131"/>
      <c r="H7" s="131"/>
      <c r="I7" s="1"/>
    </row>
    <row r="8" spans="1:12" ht="15.5">
      <c r="A8" s="134"/>
      <c r="B8" s="134"/>
      <c r="C8" s="135" t="s">
        <v>490</v>
      </c>
      <c r="D8" s="136"/>
      <c r="E8" s="137" t="s">
        <v>491</v>
      </c>
      <c r="F8" s="756">
        <f>'A6. Operations_Consolidated'!F8</f>
        <v>0</v>
      </c>
      <c r="G8" s="138"/>
      <c r="H8" s="138"/>
      <c r="I8" s="1"/>
    </row>
    <row r="9" spans="1:12" ht="15">
      <c r="A9" s="134"/>
      <c r="B9" s="134"/>
      <c r="C9" s="135" t="s">
        <v>492</v>
      </c>
      <c r="D9" s="134"/>
      <c r="E9" s="137" t="s">
        <v>493</v>
      </c>
      <c r="F9" s="143">
        <f>'A1. Identification'!D6</f>
        <v>0</v>
      </c>
      <c r="G9" s="138"/>
      <c r="H9" s="138"/>
      <c r="I9" s="134"/>
    </row>
    <row r="10" spans="1:12" ht="15">
      <c r="A10" s="134"/>
      <c r="B10" s="134"/>
      <c r="C10" s="135" t="s">
        <v>494</v>
      </c>
      <c r="D10" s="136"/>
      <c r="E10" s="137" t="s">
        <v>495</v>
      </c>
      <c r="F10" s="757">
        <f>'A6. Operations_Consolidated'!F9</f>
        <v>0</v>
      </c>
      <c r="G10" s="138"/>
      <c r="H10" s="138"/>
      <c r="I10" s="134"/>
    </row>
    <row r="11" spans="1:12" ht="15">
      <c r="A11" s="134"/>
      <c r="B11" s="134"/>
      <c r="C11" s="135" t="s">
        <v>496</v>
      </c>
      <c r="D11" s="136"/>
      <c r="E11" s="137" t="s">
        <v>497</v>
      </c>
      <c r="F11" s="758">
        <f>'A6. Operations_Consolidated'!F10</f>
        <v>0</v>
      </c>
      <c r="G11" s="139"/>
      <c r="H11" s="139"/>
      <c r="I11" s="279"/>
    </row>
    <row r="12" spans="1:12" ht="15.5">
      <c r="A12" s="134"/>
      <c r="B12" s="134"/>
      <c r="C12" s="135" t="s">
        <v>498</v>
      </c>
      <c r="D12" s="136"/>
      <c r="E12" s="136"/>
      <c r="F12" s="759" t="s">
        <v>726</v>
      </c>
      <c r="G12" s="141"/>
      <c r="H12" s="270"/>
      <c r="I12" s="1"/>
    </row>
    <row r="13" spans="1:12" ht="15.5">
      <c r="A13" s="134"/>
      <c r="B13" s="134"/>
      <c r="C13" s="760" t="s">
        <v>499</v>
      </c>
      <c r="D13" s="136"/>
      <c r="E13" s="137" t="s">
        <v>500</v>
      </c>
      <c r="F13" s="269">
        <v>232</v>
      </c>
      <c r="G13" s="142"/>
      <c r="H13" s="142"/>
      <c r="I13" s="1"/>
    </row>
    <row r="14" spans="1:12" ht="15.5">
      <c r="A14" s="134"/>
      <c r="B14" s="134"/>
      <c r="C14" s="135" t="s">
        <v>501</v>
      </c>
      <c r="D14" s="136"/>
      <c r="E14" s="137" t="s">
        <v>502</v>
      </c>
      <c r="F14" s="143">
        <v>2025</v>
      </c>
      <c r="G14" s="144"/>
      <c r="H14" s="144"/>
      <c r="I14" s="1"/>
    </row>
    <row r="15" spans="1:12" ht="15">
      <c r="A15" s="134"/>
      <c r="B15" s="761"/>
      <c r="C15" s="136"/>
      <c r="D15" s="136"/>
      <c r="E15" s="136"/>
      <c r="F15" s="761"/>
      <c r="G15" s="761"/>
      <c r="H15" s="761"/>
      <c r="I15" s="134"/>
    </row>
    <row r="16" spans="1:12" ht="17.5">
      <c r="A16" s="134"/>
      <c r="B16" s="132" t="s">
        <v>503</v>
      </c>
      <c r="C16" s="136"/>
      <c r="D16" s="136"/>
      <c r="E16" s="136"/>
      <c r="F16" s="761"/>
      <c r="G16" s="761"/>
      <c r="H16" s="761"/>
      <c r="I16" s="134"/>
    </row>
    <row r="17" spans="1:9" ht="15">
      <c r="A17" s="134"/>
      <c r="B17" s="755" t="s">
        <v>504</v>
      </c>
      <c r="C17" s="136"/>
      <c r="D17" s="136"/>
      <c r="E17" s="136"/>
      <c r="F17" s="761"/>
      <c r="G17" s="761"/>
      <c r="H17" s="761"/>
      <c r="I17" s="761"/>
    </row>
    <row r="18" spans="1:9" ht="15.5">
      <c r="A18" s="1"/>
      <c r="B18" s="1"/>
      <c r="C18" s="1" t="s">
        <v>505</v>
      </c>
      <c r="D18" s="133"/>
      <c r="E18" s="137" t="s">
        <v>506</v>
      </c>
      <c r="F18" s="762">
        <f>'A6. Operations_Consolidated'!F12</f>
        <v>0</v>
      </c>
      <c r="G18" s="145"/>
      <c r="H18" s="145"/>
      <c r="I18" s="279"/>
    </row>
    <row r="19" spans="1:9" ht="15.5">
      <c r="A19" s="1"/>
      <c r="B19" s="1"/>
      <c r="C19" s="133"/>
      <c r="D19" s="133"/>
      <c r="E19" s="133"/>
      <c r="F19" s="130"/>
      <c r="G19" s="131"/>
      <c r="H19" s="131"/>
      <c r="I19" s="1"/>
    </row>
    <row r="20" spans="1:9" ht="60" customHeight="1">
      <c r="A20" s="1"/>
      <c r="B20" s="763"/>
      <c r="C20" s="763"/>
      <c r="F20" s="764" t="s">
        <v>507</v>
      </c>
      <c r="H20" s="764"/>
      <c r="I20" s="764" t="s">
        <v>508</v>
      </c>
    </row>
    <row r="21" spans="1:9" ht="15.5">
      <c r="A21" s="1"/>
      <c r="C21" s="765" t="s">
        <v>509</v>
      </c>
      <c r="E21" s="766" t="s">
        <v>510</v>
      </c>
      <c r="F21" s="767">
        <f>('A2.Allocation &amp; Operating Plan'!C39+'A2.Allocation &amp; Operating Plan'!C40)*'A2.Allocation &amp; Operating Plan'!C41</f>
        <v>2610</v>
      </c>
      <c r="H21" s="766" t="s">
        <v>511</v>
      </c>
      <c r="I21" s="767">
        <f>+'A2.Allocation &amp; Operating Plan'!C41*'A2.Allocation &amp; Operating Plan'!C43</f>
        <v>2610</v>
      </c>
    </row>
    <row r="22" spans="1:9" ht="15.5">
      <c r="A22" s="1"/>
      <c r="C22" s="765" t="s">
        <v>512</v>
      </c>
      <c r="E22" s="766" t="s">
        <v>513</v>
      </c>
      <c r="F22" s="767">
        <f>('A2.Allocation &amp; Operating Plan'!D39+'A2.Allocation &amp; Operating Plan'!D40)*'A2.Allocation &amp; Operating Plan'!D41</f>
        <v>0</v>
      </c>
      <c r="H22" s="766" t="s">
        <v>514</v>
      </c>
      <c r="I22" s="767">
        <f>+'A2.Allocation &amp; Operating Plan'!D41*'A2.Allocation &amp; Operating Plan'!D43</f>
        <v>0</v>
      </c>
    </row>
    <row r="23" spans="1:9" ht="30">
      <c r="A23" s="1"/>
      <c r="C23" s="765" t="s">
        <v>4</v>
      </c>
      <c r="E23" s="766" t="s">
        <v>515</v>
      </c>
      <c r="F23" s="767">
        <f>('A2.Allocation &amp; Operating Plan'!E39+'A2.Allocation &amp; Operating Plan'!E40)*'A2.Allocation &amp; Operating Plan'!E41</f>
        <v>0</v>
      </c>
      <c r="H23" s="766" t="s">
        <v>516</v>
      </c>
      <c r="I23" s="767">
        <f>'A2.Allocation &amp; Operating Plan'!E41*'A2.Allocation &amp; Operating Plan'!E43</f>
        <v>0</v>
      </c>
    </row>
    <row r="24" spans="1:9" ht="30">
      <c r="A24" s="1"/>
      <c r="C24" s="765" t="s">
        <v>517</v>
      </c>
      <c r="E24" s="766" t="s">
        <v>518</v>
      </c>
      <c r="F24" s="767">
        <f>('A2.Allocation &amp; Operating Plan'!F39+'A2.Allocation &amp; Operating Plan'!F40)*'A2.Allocation &amp; Operating Plan'!F41</f>
        <v>0</v>
      </c>
      <c r="H24" s="766" t="s">
        <v>519</v>
      </c>
      <c r="I24" s="767">
        <f>'A2.Allocation &amp; Operating Plan'!F41*'A2.Allocation &amp; Operating Plan'!F43</f>
        <v>0</v>
      </c>
    </row>
    <row r="25" spans="1:9" ht="30">
      <c r="A25" s="127"/>
      <c r="C25" s="765" t="s">
        <v>520</v>
      </c>
      <c r="E25" s="766" t="s">
        <v>521</v>
      </c>
      <c r="F25" s="767">
        <f>('A2.Allocation &amp; Operating Plan'!G39+'A2.Allocation &amp; Operating Plan'!G40)*'A2.Allocation &amp; Operating Plan'!G41</f>
        <v>0</v>
      </c>
      <c r="H25" s="766" t="s">
        <v>522</v>
      </c>
      <c r="I25" s="767">
        <f>'A2.Allocation &amp; Operating Plan'!G41*'A2.Allocation &amp; Operating Plan'!G43</f>
        <v>0</v>
      </c>
    </row>
    <row r="26" spans="1:9" ht="30">
      <c r="A26" s="127"/>
      <c r="C26" s="765" t="s">
        <v>523</v>
      </c>
      <c r="E26" s="766" t="s">
        <v>524</v>
      </c>
      <c r="F26" s="767">
        <f>(('A2.Allocation &amp; Operating Plan'!H39+'A2.Allocation &amp; Operating Plan'!H40)*'A2.Allocation &amp; Operating Plan'!H41)+(('A2.Allocation &amp; Operating Plan'!I39+'A2.Allocation &amp; Operating Plan'!I40)*'A2.Allocation &amp; Operating Plan'!I41)</f>
        <v>3915</v>
      </c>
      <c r="H26" s="766" t="s">
        <v>525</v>
      </c>
      <c r="I26" s="767">
        <f>('A2.Allocation &amp; Operating Plan'!H41*'A2.Allocation &amp; Operating Plan'!H43)+('A2.Allocation &amp; Operating Plan'!I41*'A2.Allocation &amp; Operating Plan'!I43)</f>
        <v>3915</v>
      </c>
    </row>
    <row r="27" spans="1:9" ht="15.5">
      <c r="A27" s="127"/>
      <c r="C27" s="768" t="s">
        <v>87</v>
      </c>
      <c r="F27" s="147">
        <f>+SUM(F21:F26)</f>
        <v>6525</v>
      </c>
      <c r="H27" s="146"/>
      <c r="I27" s="147">
        <f>+SUM(I21:I26)</f>
        <v>6525</v>
      </c>
    </row>
    <row r="29" spans="1:9" ht="17.5">
      <c r="B29" s="769" t="s">
        <v>526</v>
      </c>
      <c r="C29" s="148"/>
      <c r="D29" s="148"/>
      <c r="E29" s="148"/>
      <c r="F29" s="149"/>
      <c r="G29" s="149"/>
      <c r="H29" s="149"/>
      <c r="I29" s="1"/>
    </row>
    <row r="30" spans="1:9" ht="17.5">
      <c r="B30" s="770" t="s">
        <v>527</v>
      </c>
      <c r="C30" s="148"/>
      <c r="D30" s="148"/>
      <c r="E30" s="148"/>
      <c r="F30" s="149"/>
      <c r="G30" s="150"/>
      <c r="H30" s="150"/>
      <c r="I30" s="1"/>
    </row>
    <row r="31" spans="1:9" ht="15.5">
      <c r="B31" s="755" t="s">
        <v>528</v>
      </c>
      <c r="C31" s="1"/>
      <c r="D31" s="1"/>
      <c r="E31" s="1"/>
      <c r="F31" s="1"/>
      <c r="G31" s="1"/>
      <c r="H31" s="1"/>
      <c r="I31" s="1"/>
    </row>
    <row r="32" spans="1:9" ht="15.5">
      <c r="B32" s="151"/>
      <c r="C32" s="1" t="s">
        <v>529</v>
      </c>
      <c r="D32" s="1"/>
      <c r="E32" s="152" t="s">
        <v>530</v>
      </c>
      <c r="F32" s="771">
        <f>'A6. Operations_Consolidated'!E21+'A3. Peel Region Grants'!G37</f>
        <v>0</v>
      </c>
      <c r="G32" s="153"/>
      <c r="H32" s="153"/>
      <c r="I32" s="140"/>
    </row>
    <row r="33" spans="2:22" ht="15.5">
      <c r="B33" s="772"/>
      <c r="C33" s="1" t="s">
        <v>531</v>
      </c>
      <c r="D33" s="1"/>
      <c r="E33" s="152" t="s">
        <v>532</v>
      </c>
      <c r="F33" s="771">
        <f>+'A6. Operations_Consolidated'!E22</f>
        <v>0</v>
      </c>
      <c r="G33" s="153"/>
      <c r="H33" s="153"/>
      <c r="I33" s="140"/>
    </row>
    <row r="34" spans="2:22" ht="15.5">
      <c r="B34" s="1"/>
      <c r="C34" s="133"/>
      <c r="D34" s="133"/>
      <c r="E34" s="133"/>
      <c r="F34" s="154"/>
      <c r="G34" s="155"/>
      <c r="H34" s="155"/>
      <c r="I34" s="156"/>
    </row>
    <row r="35" spans="2:22" ht="17.5">
      <c r="B35" s="769" t="s">
        <v>533</v>
      </c>
      <c r="C35" s="133"/>
      <c r="D35" s="133"/>
      <c r="E35" s="133"/>
      <c r="F35" s="149"/>
      <c r="G35" s="150"/>
      <c r="H35" s="150"/>
      <c r="I35" s="773"/>
    </row>
    <row r="36" spans="2:22" ht="15.5">
      <c r="B36" s="755" t="s">
        <v>534</v>
      </c>
      <c r="C36" s="133"/>
      <c r="D36" s="133"/>
      <c r="E36" s="133"/>
      <c r="F36" s="149"/>
      <c r="G36" s="150"/>
      <c r="H36" s="150"/>
      <c r="I36" s="773"/>
    </row>
    <row r="37" spans="2:22" ht="15.5">
      <c r="B37" s="755" t="s">
        <v>535</v>
      </c>
      <c r="C37" s="133"/>
      <c r="D37" s="133"/>
      <c r="E37" s="133"/>
      <c r="F37" s="149"/>
      <c r="G37" s="150"/>
      <c r="H37" s="150"/>
      <c r="I37" s="773"/>
    </row>
    <row r="38" spans="2:22" ht="15.5">
      <c r="B38" s="157"/>
      <c r="C38" s="133"/>
      <c r="D38" s="133"/>
      <c r="E38" s="133"/>
      <c r="F38" s="158" t="s">
        <v>536</v>
      </c>
      <c r="G38" s="159"/>
      <c r="H38" s="159"/>
      <c r="I38" s="746" t="s">
        <v>880</v>
      </c>
      <c r="J38" s="774"/>
      <c r="K38" s="774"/>
      <c r="L38" s="774"/>
      <c r="M38" s="774"/>
      <c r="N38" s="774"/>
      <c r="O38" s="774"/>
      <c r="P38" s="774"/>
      <c r="Q38" s="774"/>
      <c r="R38" s="774"/>
      <c r="S38" s="774"/>
      <c r="T38" s="774"/>
      <c r="U38" s="774"/>
      <c r="V38" s="774"/>
    </row>
    <row r="39" spans="2:22" ht="15.5">
      <c r="B39" s="160"/>
      <c r="C39" s="775" t="s">
        <v>537</v>
      </c>
      <c r="D39" s="775"/>
      <c r="E39" s="775"/>
      <c r="F39" s="158"/>
      <c r="G39" s="159"/>
      <c r="H39" s="159"/>
      <c r="I39" s="746"/>
      <c r="J39" s="774"/>
      <c r="K39" s="774"/>
      <c r="L39" s="774"/>
      <c r="M39" s="774"/>
      <c r="N39" s="774"/>
      <c r="O39" s="774"/>
      <c r="P39" s="774"/>
      <c r="Q39" s="774"/>
      <c r="R39" s="774"/>
      <c r="S39" s="774"/>
      <c r="T39" s="774"/>
      <c r="U39" s="774"/>
      <c r="V39" s="774"/>
    </row>
    <row r="40" spans="2:22" ht="15.5">
      <c r="B40" s="160"/>
      <c r="C40" s="776" t="s">
        <v>538</v>
      </c>
      <c r="D40" s="776"/>
      <c r="E40" s="777" t="s">
        <v>539</v>
      </c>
      <c r="F40" s="771">
        <f>+'A6. Operations_Consolidated'!E39+'A6. Operations_Consolidated'!E40-'A3. Peel Region Grants'!G39</f>
        <v>0</v>
      </c>
      <c r="G40" s="153"/>
      <c r="H40" s="153"/>
      <c r="I40" s="747" t="str">
        <f>+IFERROR(F40/$F$73,"")</f>
        <v/>
      </c>
      <c r="J40" s="774"/>
      <c r="K40" s="774"/>
      <c r="L40" s="774"/>
      <c r="M40" s="774"/>
      <c r="N40" s="774"/>
      <c r="O40" s="774"/>
      <c r="P40" s="774"/>
      <c r="Q40" s="774"/>
      <c r="R40" s="774"/>
      <c r="S40" s="774"/>
      <c r="T40" s="774"/>
      <c r="U40" s="774"/>
      <c r="V40" s="774"/>
    </row>
    <row r="41" spans="2:22" ht="15.5">
      <c r="B41" s="160"/>
      <c r="C41" s="776" t="s">
        <v>540</v>
      </c>
      <c r="D41" s="776"/>
      <c r="E41" s="777" t="s">
        <v>541</v>
      </c>
      <c r="F41" s="771">
        <f>+'A6. Operations_Consolidated'!E41+'A6. Operations_Consolidated'!E42</f>
        <v>0</v>
      </c>
      <c r="G41" s="153"/>
      <c r="H41" s="153"/>
      <c r="I41" s="747" t="str">
        <f t="shared" ref="I41:I43" si="0">+IFERROR(F41/$F$73,"")</f>
        <v/>
      </c>
      <c r="J41" s="774"/>
      <c r="K41" s="774"/>
      <c r="L41" s="774"/>
      <c r="M41" s="774"/>
      <c r="N41" s="774"/>
      <c r="O41" s="774"/>
      <c r="P41" s="774"/>
      <c r="Q41" s="774"/>
      <c r="R41" s="774"/>
      <c r="S41" s="774"/>
      <c r="T41" s="774"/>
      <c r="U41" s="774"/>
      <c r="V41" s="774"/>
    </row>
    <row r="42" spans="2:22" ht="15.5">
      <c r="B42" s="160"/>
      <c r="C42" s="776" t="s">
        <v>542</v>
      </c>
      <c r="D42" s="776"/>
      <c r="E42" s="777" t="s">
        <v>543</v>
      </c>
      <c r="F42" s="771">
        <f>+'A6. Operations_Consolidated'!E43</f>
        <v>0</v>
      </c>
      <c r="G42" s="153"/>
      <c r="H42" s="153"/>
      <c r="I42" s="747" t="str">
        <f t="shared" si="0"/>
        <v/>
      </c>
      <c r="J42" s="774"/>
      <c r="K42" s="774"/>
      <c r="L42" s="774"/>
      <c r="M42" s="774"/>
      <c r="N42" s="774"/>
      <c r="O42" s="774"/>
      <c r="P42" s="774"/>
      <c r="Q42" s="774"/>
      <c r="R42" s="774"/>
      <c r="S42" s="774"/>
      <c r="T42" s="774"/>
      <c r="U42" s="774"/>
      <c r="V42" s="774"/>
    </row>
    <row r="43" spans="2:22" ht="15.5">
      <c r="B43" s="160"/>
      <c r="C43" s="776" t="s">
        <v>544</v>
      </c>
      <c r="D43" s="776"/>
      <c r="E43" s="777" t="s">
        <v>545</v>
      </c>
      <c r="F43" s="771">
        <f>+'A6. Operations_Consolidated'!E44</f>
        <v>0</v>
      </c>
      <c r="G43" s="161"/>
      <c r="H43" s="161"/>
      <c r="I43" s="747" t="str">
        <f t="shared" si="0"/>
        <v/>
      </c>
      <c r="J43" s="774"/>
      <c r="K43" s="774"/>
      <c r="L43" s="774"/>
      <c r="M43" s="774"/>
      <c r="N43" s="774"/>
      <c r="O43" s="774"/>
      <c r="P43" s="774"/>
      <c r="Q43" s="774"/>
      <c r="R43" s="774"/>
      <c r="S43" s="774"/>
      <c r="T43" s="774"/>
      <c r="U43" s="774"/>
      <c r="V43" s="774"/>
    </row>
    <row r="44" spans="2:22" ht="15.5">
      <c r="B44" s="160"/>
      <c r="C44" s="776" t="s">
        <v>546</v>
      </c>
      <c r="D44" s="776"/>
      <c r="E44" s="777" t="s">
        <v>547</v>
      </c>
      <c r="F44" s="778">
        <f>+'A6. Operations_Consolidated'!E45-'A3. Peel Region Grants'!F133</f>
        <v>0</v>
      </c>
      <c r="G44" s="153"/>
      <c r="H44" s="433"/>
      <c r="I44" s="747"/>
      <c r="J44" s="774"/>
      <c r="K44" s="774"/>
      <c r="L44" s="700"/>
      <c r="M44" s="700"/>
      <c r="N44" s="700"/>
      <c r="O44" s="700"/>
      <c r="P44" s="774"/>
      <c r="Q44" s="774"/>
      <c r="R44" s="774"/>
      <c r="S44" s="774"/>
      <c r="T44" s="774"/>
      <c r="U44" s="774"/>
      <c r="V44" s="774"/>
    </row>
    <row r="45" spans="2:22" ht="15.5">
      <c r="B45" s="160"/>
      <c r="C45" s="776" t="s">
        <v>548</v>
      </c>
      <c r="D45" s="776"/>
      <c r="E45" s="777" t="s">
        <v>549</v>
      </c>
      <c r="F45" s="771">
        <f>'A4. KPIs'!E61+'A4. KPIs'!F61+'A4. KPIs'!G61+'A4. KPIs'!H61+'A4. KPIs'!I61</f>
        <v>0</v>
      </c>
      <c r="G45" s="162"/>
      <c r="H45" s="162"/>
      <c r="I45" s="779"/>
      <c r="J45" s="774"/>
      <c r="K45" s="774"/>
      <c r="L45" s="774"/>
      <c r="M45" s="774"/>
      <c r="N45" s="774"/>
      <c r="O45" s="774"/>
      <c r="P45" s="774"/>
      <c r="Q45" s="774"/>
      <c r="R45" s="774"/>
      <c r="S45" s="774"/>
      <c r="T45" s="774"/>
      <c r="U45" s="774"/>
      <c r="V45" s="774"/>
    </row>
    <row r="46" spans="2:22" ht="15.5">
      <c r="B46" s="157"/>
      <c r="C46" s="776"/>
      <c r="D46" s="776"/>
      <c r="E46" s="776"/>
      <c r="F46" s="780"/>
      <c r="G46" s="780"/>
      <c r="H46" s="780"/>
      <c r="I46" s="748"/>
      <c r="J46" s="774"/>
      <c r="K46" s="774"/>
      <c r="L46" s="774"/>
      <c r="M46" s="774"/>
      <c r="N46" s="774"/>
      <c r="O46" s="774"/>
      <c r="P46" s="774"/>
      <c r="Q46" s="774"/>
      <c r="R46" s="774"/>
      <c r="S46" s="774"/>
      <c r="T46" s="774"/>
      <c r="U46" s="774"/>
      <c r="V46" s="774"/>
    </row>
    <row r="47" spans="2:22" ht="15.5">
      <c r="B47" s="781"/>
      <c r="C47" s="775" t="s">
        <v>550</v>
      </c>
      <c r="D47" s="775"/>
      <c r="E47" s="775"/>
      <c r="F47" s="780"/>
      <c r="G47" s="780"/>
      <c r="H47" s="780"/>
      <c r="I47" s="748"/>
      <c r="J47" s="774"/>
      <c r="K47" s="774"/>
      <c r="L47" s="774"/>
      <c r="M47" s="774"/>
      <c r="N47" s="774"/>
      <c r="O47" s="774"/>
      <c r="P47" s="774"/>
      <c r="Q47" s="774"/>
      <c r="R47" s="774"/>
      <c r="S47" s="774"/>
      <c r="T47" s="774"/>
      <c r="U47" s="774"/>
      <c r="V47" s="774"/>
    </row>
    <row r="48" spans="2:22" ht="15.5">
      <c r="B48" s="160"/>
      <c r="C48" s="776" t="s">
        <v>551</v>
      </c>
      <c r="D48" s="776"/>
      <c r="E48" s="777" t="s">
        <v>552</v>
      </c>
      <c r="F48" s="771">
        <f>+'A6. Operations_Consolidated'!E47+'A6. Operations_Consolidated'!E48</f>
        <v>0</v>
      </c>
      <c r="G48" s="161"/>
      <c r="H48" s="161"/>
      <c r="I48" s="747" t="str">
        <f>+IFERROR(F48/$F$73,"")</f>
        <v/>
      </c>
      <c r="J48" s="774"/>
      <c r="K48" s="774"/>
      <c r="L48" s="774"/>
      <c r="M48" s="774"/>
      <c r="N48" s="774"/>
      <c r="O48" s="774"/>
      <c r="P48" s="774"/>
      <c r="Q48" s="774"/>
      <c r="R48" s="774"/>
      <c r="S48" s="774"/>
      <c r="T48" s="774"/>
      <c r="U48" s="774"/>
      <c r="V48" s="774"/>
    </row>
    <row r="49" spans="2:22" ht="15.5">
      <c r="B49" s="160"/>
      <c r="C49" s="776" t="s">
        <v>553</v>
      </c>
      <c r="D49" s="776"/>
      <c r="E49" s="163" t="s">
        <v>554</v>
      </c>
      <c r="F49" s="771">
        <f>+'A6. Operations_Consolidated'!E49+'A6. Operations_Consolidated'!E50</f>
        <v>0</v>
      </c>
      <c r="G49" s="161"/>
      <c r="H49" s="161"/>
      <c r="I49" s="747" t="str">
        <f t="shared" ref="I49:I52" si="1">+IFERROR(F49/$F$73,"")</f>
        <v/>
      </c>
      <c r="J49" s="774"/>
      <c r="K49" s="774"/>
      <c r="L49" s="774"/>
      <c r="M49" s="774"/>
      <c r="N49" s="774"/>
      <c r="O49" s="774"/>
      <c r="P49" s="774"/>
      <c r="Q49" s="774"/>
      <c r="R49" s="774"/>
      <c r="S49" s="774"/>
      <c r="T49" s="774"/>
      <c r="U49" s="774"/>
      <c r="V49" s="774"/>
    </row>
    <row r="50" spans="2:22" ht="15.5">
      <c r="B50" s="160"/>
      <c r="C50" s="776" t="s">
        <v>555</v>
      </c>
      <c r="D50" s="776"/>
      <c r="E50" s="163" t="s">
        <v>556</v>
      </c>
      <c r="F50" s="771">
        <f>+'A6. Operations_Consolidated'!E51</f>
        <v>0</v>
      </c>
      <c r="G50" s="161"/>
      <c r="H50" s="161"/>
      <c r="I50" s="747" t="str">
        <f t="shared" si="1"/>
        <v/>
      </c>
      <c r="J50" s="774"/>
      <c r="K50" s="774"/>
      <c r="L50" s="774"/>
      <c r="M50" s="774"/>
      <c r="N50" s="774"/>
      <c r="O50" s="774"/>
      <c r="P50" s="774"/>
      <c r="Q50" s="774"/>
      <c r="R50" s="774"/>
      <c r="S50" s="774"/>
      <c r="T50" s="774"/>
      <c r="U50" s="774"/>
      <c r="V50" s="774"/>
    </row>
    <row r="51" spans="2:22" ht="15.5">
      <c r="B51" s="160"/>
      <c r="C51" s="776" t="s">
        <v>557</v>
      </c>
      <c r="D51" s="776"/>
      <c r="E51" s="163" t="s">
        <v>558</v>
      </c>
      <c r="F51" s="771">
        <f>+'A6. Operations_Consolidated'!E52</f>
        <v>0</v>
      </c>
      <c r="G51" s="161"/>
      <c r="H51" s="161"/>
      <c r="I51" s="747" t="str">
        <f t="shared" si="1"/>
        <v/>
      </c>
      <c r="J51" s="774"/>
      <c r="K51" s="774"/>
      <c r="L51" s="774"/>
      <c r="M51" s="774"/>
      <c r="N51" s="774"/>
      <c r="O51" s="774"/>
      <c r="P51" s="774"/>
      <c r="Q51" s="774"/>
      <c r="R51" s="774"/>
      <c r="S51" s="774"/>
      <c r="T51" s="774"/>
      <c r="U51" s="774"/>
      <c r="V51" s="774"/>
    </row>
    <row r="52" spans="2:22" ht="15.5">
      <c r="B52" s="160"/>
      <c r="C52" s="776" t="s">
        <v>559</v>
      </c>
      <c r="D52" s="776"/>
      <c r="E52" s="163" t="s">
        <v>560</v>
      </c>
      <c r="F52" s="771">
        <f>+'A6. Operations_Consolidated'!E53</f>
        <v>0</v>
      </c>
      <c r="G52" s="161"/>
      <c r="H52" s="161"/>
      <c r="I52" s="747" t="str">
        <f t="shared" si="1"/>
        <v/>
      </c>
      <c r="J52" s="774"/>
      <c r="K52" s="774"/>
      <c r="L52" s="774"/>
      <c r="M52" s="774"/>
      <c r="N52" s="774"/>
      <c r="O52" s="774"/>
      <c r="P52" s="774"/>
      <c r="Q52" s="774"/>
      <c r="R52" s="774"/>
      <c r="S52" s="774"/>
      <c r="T52" s="774"/>
      <c r="U52" s="774"/>
      <c r="V52" s="774"/>
    </row>
    <row r="53" spans="2:22" ht="15.5">
      <c r="B53" s="160"/>
      <c r="C53" s="776" t="s">
        <v>561</v>
      </c>
      <c r="D53" s="776"/>
      <c r="E53" s="163" t="s">
        <v>562</v>
      </c>
      <c r="F53" s="771">
        <f>'A4. KPIs'!E62+'A4. KPIs'!F62+'A4. KPIs'!G62+'A4. KPIs'!H62+'A4. KPIs'!I62</f>
        <v>0</v>
      </c>
      <c r="G53" s="164"/>
      <c r="H53" s="164"/>
      <c r="I53" s="749"/>
      <c r="J53" s="774"/>
      <c r="K53" s="774"/>
      <c r="L53" s="774"/>
      <c r="M53" s="774"/>
      <c r="N53" s="774"/>
      <c r="O53" s="774"/>
      <c r="P53" s="774"/>
      <c r="Q53" s="774"/>
      <c r="R53" s="774"/>
      <c r="S53" s="774"/>
      <c r="T53" s="774"/>
      <c r="U53" s="774"/>
      <c r="V53" s="774"/>
    </row>
    <row r="54" spans="2:22" ht="15.5">
      <c r="B54" s="157"/>
      <c r="C54" s="776"/>
      <c r="D54" s="776"/>
      <c r="E54" s="133"/>
      <c r="F54" s="780"/>
      <c r="G54" s="780"/>
      <c r="H54" s="780"/>
      <c r="I54" s="748"/>
      <c r="J54" s="774"/>
      <c r="K54" s="774"/>
      <c r="L54" s="774"/>
      <c r="M54" s="774"/>
      <c r="N54" s="774"/>
      <c r="O54" s="774"/>
      <c r="P54" s="774"/>
      <c r="Q54" s="774"/>
      <c r="R54" s="774"/>
      <c r="S54" s="774"/>
      <c r="T54" s="774"/>
      <c r="U54" s="774"/>
      <c r="V54" s="774"/>
    </row>
    <row r="55" spans="2:22" ht="15.5">
      <c r="B55" s="781"/>
      <c r="C55" s="775" t="s">
        <v>231</v>
      </c>
      <c r="D55" s="775"/>
      <c r="E55" s="133"/>
      <c r="F55" s="780"/>
      <c r="G55" s="780"/>
      <c r="H55" s="780"/>
      <c r="I55" s="748"/>
      <c r="J55" s="774"/>
      <c r="K55" s="774"/>
      <c r="L55" s="774"/>
      <c r="M55" s="774"/>
      <c r="N55" s="774"/>
      <c r="O55" s="774"/>
      <c r="P55" s="774"/>
      <c r="Q55" s="774"/>
      <c r="R55" s="774"/>
      <c r="S55" s="774"/>
      <c r="T55" s="774"/>
      <c r="U55" s="774"/>
      <c r="V55" s="774"/>
    </row>
    <row r="56" spans="2:22" ht="15.5">
      <c r="B56" s="160"/>
      <c r="C56" s="776" t="s">
        <v>563</v>
      </c>
      <c r="D56" s="776"/>
      <c r="E56" s="163" t="s">
        <v>564</v>
      </c>
      <c r="F56" s="771">
        <f>+'A6. Operations_Consolidated'!E68+'A7. 2025 CWELCC &amp; OTEF Recon'!D23</f>
        <v>0</v>
      </c>
      <c r="G56" s="153"/>
      <c r="H56" s="153"/>
      <c r="I56" s="747" t="str">
        <f>+IFERROR(F56/$F$73,"")</f>
        <v/>
      </c>
      <c r="J56" s="774"/>
      <c r="K56" s="774"/>
      <c r="L56" s="774"/>
      <c r="M56" s="774"/>
      <c r="N56" s="774"/>
      <c r="O56" s="774"/>
      <c r="P56" s="774"/>
      <c r="Q56" s="774"/>
      <c r="R56" s="774"/>
      <c r="S56" s="774"/>
      <c r="T56" s="774"/>
      <c r="U56" s="774"/>
      <c r="V56" s="774"/>
    </row>
    <row r="57" spans="2:22" ht="15.5">
      <c r="B57" s="160"/>
      <c r="C57" s="776" t="s">
        <v>565</v>
      </c>
      <c r="D57" s="776"/>
      <c r="E57" s="163" t="s">
        <v>566</v>
      </c>
      <c r="F57" s="771">
        <f>+'A6. Operations_Consolidated'!E64</f>
        <v>0</v>
      </c>
      <c r="G57" s="153"/>
      <c r="H57" s="153"/>
      <c r="I57" s="747" t="str">
        <f t="shared" ref="I57:I60" si="2">+IFERROR(F57/$F$73,"")</f>
        <v/>
      </c>
      <c r="J57" s="774"/>
      <c r="K57" s="774"/>
      <c r="L57" s="774"/>
      <c r="M57" s="774"/>
      <c r="N57" s="774"/>
      <c r="O57" s="774"/>
      <c r="P57" s="774"/>
      <c r="Q57" s="774"/>
      <c r="R57" s="774"/>
      <c r="S57" s="774"/>
      <c r="T57" s="774"/>
      <c r="U57" s="774"/>
      <c r="V57" s="774"/>
    </row>
    <row r="58" spans="2:22" ht="34.5" customHeight="1">
      <c r="B58" s="160"/>
      <c r="C58" s="133" t="s">
        <v>567</v>
      </c>
      <c r="D58" s="776"/>
      <c r="E58" s="163" t="s">
        <v>568</v>
      </c>
      <c r="F58" s="771">
        <f>'A6. Operations_Consolidated'!E83</f>
        <v>0</v>
      </c>
      <c r="G58" s="153"/>
      <c r="H58" s="153"/>
      <c r="I58" s="747" t="str">
        <f t="shared" si="2"/>
        <v/>
      </c>
      <c r="J58" s="774"/>
      <c r="K58" s="774"/>
      <c r="L58" s="774"/>
      <c r="M58" s="774"/>
      <c r="N58" s="774"/>
      <c r="O58" s="774"/>
      <c r="P58" s="774"/>
      <c r="Q58" s="774"/>
      <c r="R58" s="774"/>
      <c r="S58" s="774"/>
      <c r="T58" s="774"/>
      <c r="U58" s="774"/>
      <c r="V58" s="774"/>
    </row>
    <row r="59" spans="2:22" ht="15.5">
      <c r="B59" s="160"/>
      <c r="C59" s="776" t="s">
        <v>569</v>
      </c>
      <c r="D59" s="776"/>
      <c r="E59" s="163" t="s">
        <v>570</v>
      </c>
      <c r="F59" s="771">
        <f>+'A6. Operations_Consolidated'!E65</f>
        <v>0</v>
      </c>
      <c r="G59" s="153"/>
      <c r="H59" s="153"/>
      <c r="I59" s="747" t="str">
        <f t="shared" si="2"/>
        <v/>
      </c>
      <c r="J59" s="774"/>
      <c r="K59" s="774"/>
      <c r="L59" s="774"/>
      <c r="M59" s="774"/>
      <c r="N59" s="774"/>
      <c r="O59" s="774"/>
      <c r="P59" s="774"/>
      <c r="Q59" s="774"/>
      <c r="R59" s="774"/>
      <c r="S59" s="774"/>
      <c r="T59" s="774"/>
      <c r="U59" s="774"/>
      <c r="V59" s="774"/>
    </row>
    <row r="60" spans="2:22" ht="15.5">
      <c r="B60" s="160"/>
      <c r="C60" s="776" t="s">
        <v>571</v>
      </c>
      <c r="D60" s="776"/>
      <c r="E60" s="163" t="s">
        <v>572</v>
      </c>
      <c r="F60" s="771">
        <f>+'A6. Operations_Consolidated'!E70</f>
        <v>0</v>
      </c>
      <c r="G60" s="153"/>
      <c r="H60" s="153"/>
      <c r="I60" s="747" t="str">
        <f t="shared" si="2"/>
        <v/>
      </c>
      <c r="J60" s="774"/>
      <c r="K60" s="774"/>
      <c r="L60" s="774"/>
      <c r="M60" s="774"/>
      <c r="N60" s="774"/>
      <c r="O60" s="774"/>
      <c r="P60" s="774"/>
      <c r="Q60" s="774"/>
      <c r="R60" s="774"/>
      <c r="S60" s="774"/>
      <c r="T60" s="774"/>
      <c r="U60" s="774"/>
      <c r="V60" s="774"/>
    </row>
    <row r="61" spans="2:22" ht="15.5">
      <c r="B61" s="157"/>
      <c r="C61" s="133"/>
      <c r="D61" s="133"/>
      <c r="E61" s="133"/>
      <c r="F61" s="133"/>
      <c r="G61" s="133"/>
      <c r="H61" s="133"/>
      <c r="I61" s="782"/>
      <c r="J61" s="774"/>
      <c r="K61" s="774"/>
      <c r="L61" s="774"/>
      <c r="M61" s="774"/>
      <c r="N61" s="774"/>
      <c r="O61" s="774"/>
      <c r="P61" s="774"/>
      <c r="Q61" s="774"/>
      <c r="R61" s="774"/>
      <c r="S61" s="774"/>
      <c r="T61" s="774"/>
      <c r="U61" s="774"/>
      <c r="V61" s="774"/>
    </row>
    <row r="62" spans="2:22" ht="15.5">
      <c r="B62" s="157"/>
      <c r="C62" s="775" t="s">
        <v>89</v>
      </c>
      <c r="D62" s="775"/>
      <c r="E62" s="775"/>
      <c r="F62" s="1"/>
      <c r="G62" s="1"/>
      <c r="H62" s="1"/>
      <c r="I62" s="748"/>
      <c r="J62" s="774"/>
      <c r="K62" s="774"/>
      <c r="L62" s="774"/>
      <c r="M62" s="774"/>
      <c r="N62" s="774"/>
      <c r="O62" s="774"/>
      <c r="P62" s="774"/>
      <c r="Q62" s="774"/>
      <c r="R62" s="774"/>
      <c r="S62" s="774"/>
      <c r="T62" s="774"/>
      <c r="U62" s="774"/>
      <c r="V62" s="774"/>
    </row>
    <row r="63" spans="2:22" ht="22.5" customHeight="1">
      <c r="B63" s="783"/>
      <c r="C63" s="136" t="s">
        <v>573</v>
      </c>
      <c r="D63" s="136"/>
      <c r="E63" s="784" t="s">
        <v>574</v>
      </c>
      <c r="F63" s="785">
        <f>+'A6. Operations_Consolidated'!E55+'A6. Operations_Consolidated'!E57+'A6. Operations_Consolidated'!E59+'A6. Operations_Consolidated'!E61</f>
        <v>0</v>
      </c>
      <c r="G63" s="165"/>
      <c r="H63" s="165"/>
      <c r="I63" s="747" t="str">
        <f>+IFERROR(F63/$F$73,"")</f>
        <v/>
      </c>
      <c r="J63" s="774"/>
      <c r="K63" s="774"/>
      <c r="L63" s="774"/>
      <c r="M63" s="774"/>
      <c r="N63" s="774"/>
      <c r="O63" s="774"/>
      <c r="P63" s="774"/>
      <c r="Q63" s="774"/>
      <c r="R63" s="774"/>
      <c r="S63" s="774"/>
      <c r="T63" s="774"/>
      <c r="U63" s="774"/>
      <c r="V63" s="774"/>
    </row>
    <row r="64" spans="2:22" ht="15">
      <c r="B64" s="783"/>
      <c r="C64" s="136" t="s">
        <v>575</v>
      </c>
      <c r="D64" s="136"/>
      <c r="E64" s="784" t="s">
        <v>576</v>
      </c>
      <c r="F64" s="786">
        <f>+'A6. Operations_Consolidated'!E56+'A6. Operations_Consolidated'!E58</f>
        <v>0</v>
      </c>
      <c r="G64" s="165"/>
      <c r="H64" s="165"/>
      <c r="I64" s="747" t="str">
        <f t="shared" ref="I64:I70" si="3">+IFERROR(F64/$F$73,"")</f>
        <v/>
      </c>
      <c r="J64" s="774"/>
      <c r="K64" s="774"/>
      <c r="L64" s="774"/>
      <c r="M64" s="774"/>
      <c r="N64" s="774"/>
      <c r="O64" s="774"/>
      <c r="P64" s="774"/>
      <c r="Q64" s="774"/>
      <c r="R64" s="774"/>
      <c r="S64" s="774"/>
      <c r="T64" s="774"/>
      <c r="U64" s="774"/>
      <c r="V64" s="774"/>
    </row>
    <row r="65" spans="2:22" ht="15">
      <c r="B65" s="783"/>
      <c r="C65" s="136" t="s">
        <v>577</v>
      </c>
      <c r="D65" s="136"/>
      <c r="E65" s="784" t="s">
        <v>578</v>
      </c>
      <c r="F65" s="785">
        <f>+'A6. Operations_Consolidated'!E73+'A6. Operations_Consolidated'!E74+'A6. Operations_Consolidated'!E75-'A3. Peel Region Grants'!G38</f>
        <v>0</v>
      </c>
      <c r="G65" s="165"/>
      <c r="H65" s="165"/>
      <c r="I65" s="747" t="str">
        <f t="shared" si="3"/>
        <v/>
      </c>
      <c r="J65" s="774"/>
      <c r="K65" s="774"/>
      <c r="L65" s="774"/>
      <c r="M65" s="774"/>
      <c r="N65" s="774"/>
      <c r="O65" s="774"/>
      <c r="P65" s="774"/>
      <c r="Q65" s="774"/>
      <c r="R65" s="774"/>
      <c r="S65" s="774"/>
      <c r="T65" s="774"/>
      <c r="U65" s="774"/>
      <c r="V65" s="774"/>
    </row>
    <row r="66" spans="2:22" ht="30">
      <c r="B66" s="783"/>
      <c r="C66" s="136" t="s">
        <v>579</v>
      </c>
      <c r="D66" s="136"/>
      <c r="E66" s="784" t="s">
        <v>580</v>
      </c>
      <c r="F66" s="785">
        <f>+'A6. Operations_Consolidated'!E69+'A6. Operations_Consolidated'!E66+'A6. Operations_Consolidated'!E82+'A6. Operations_Consolidated'!E89+'A6. Operations_Consolidated'!E95</f>
        <v>0</v>
      </c>
      <c r="G66" s="165"/>
      <c r="H66" s="165"/>
      <c r="I66" s="747" t="str">
        <f t="shared" si="3"/>
        <v/>
      </c>
      <c r="J66" s="774"/>
      <c r="K66" s="774"/>
      <c r="L66" s="774"/>
      <c r="M66" s="774"/>
      <c r="N66" s="774"/>
      <c r="O66" s="774"/>
      <c r="P66" s="774"/>
      <c r="Q66" s="774"/>
      <c r="R66" s="774"/>
      <c r="S66" s="774"/>
      <c r="T66" s="774"/>
      <c r="U66" s="774"/>
      <c r="V66" s="774"/>
    </row>
    <row r="67" spans="2:22" ht="15">
      <c r="B67" s="783"/>
      <c r="C67" s="136" t="s">
        <v>581</v>
      </c>
      <c r="D67" s="136"/>
      <c r="E67" s="784" t="s">
        <v>582</v>
      </c>
      <c r="F67" s="785">
        <f>+'A6. Operations_Consolidated'!E78+'A6. Operations_Consolidated'!E79</f>
        <v>0</v>
      </c>
      <c r="G67" s="165"/>
      <c r="H67" s="165"/>
      <c r="I67" s="747" t="str">
        <f t="shared" si="3"/>
        <v/>
      </c>
      <c r="J67" s="774"/>
      <c r="K67" s="774"/>
      <c r="L67" s="774"/>
      <c r="M67" s="774"/>
      <c r="N67" s="774"/>
      <c r="O67" s="774"/>
      <c r="P67" s="774"/>
      <c r="Q67" s="774"/>
      <c r="R67" s="774"/>
      <c r="S67" s="774"/>
      <c r="T67" s="774"/>
      <c r="U67" s="774"/>
      <c r="V67" s="774"/>
    </row>
    <row r="68" spans="2:22" ht="15">
      <c r="B68" s="783"/>
      <c r="C68" s="136" t="s">
        <v>583</v>
      </c>
      <c r="D68" s="136"/>
      <c r="E68" s="784" t="s">
        <v>584</v>
      </c>
      <c r="F68" s="785">
        <f>+'A6. Operations_Consolidated'!E106+'A6. Operations_Consolidated'!E67</f>
        <v>0</v>
      </c>
      <c r="G68" s="165"/>
      <c r="H68" s="165"/>
      <c r="I68" s="747" t="str">
        <f>+IFERROR(F68/$F$73,"")</f>
        <v/>
      </c>
      <c r="J68" s="774"/>
      <c r="K68" s="774"/>
      <c r="L68" s="774"/>
      <c r="M68" s="774"/>
      <c r="N68" s="774"/>
      <c r="O68" s="774"/>
      <c r="P68" s="774"/>
      <c r="Q68" s="774"/>
      <c r="R68" s="774"/>
      <c r="S68" s="774"/>
      <c r="T68" s="774"/>
      <c r="U68" s="774"/>
      <c r="V68" s="774"/>
    </row>
    <row r="69" spans="2:22" ht="15">
      <c r="B69" s="783"/>
      <c r="C69" s="136" t="s">
        <v>585</v>
      </c>
      <c r="D69" s="136"/>
      <c r="E69" s="784" t="s">
        <v>586</v>
      </c>
      <c r="F69" s="785">
        <f>+'A6. Operations_Consolidated'!E90+'A6. Operations_Consolidated'!E91</f>
        <v>0</v>
      </c>
      <c r="G69" s="165"/>
      <c r="H69" s="165"/>
      <c r="I69" s="747" t="str">
        <f t="shared" si="3"/>
        <v/>
      </c>
      <c r="J69" s="774"/>
      <c r="K69" s="774"/>
      <c r="L69" s="774"/>
      <c r="M69" s="774"/>
      <c r="N69" s="774"/>
      <c r="O69" s="774"/>
      <c r="P69" s="774"/>
      <c r="Q69" s="774"/>
      <c r="R69" s="774"/>
      <c r="S69" s="774"/>
      <c r="T69" s="774"/>
      <c r="U69" s="774"/>
      <c r="V69" s="774"/>
    </row>
    <row r="70" spans="2:22" ht="15" hidden="1">
      <c r="B70" s="783"/>
      <c r="C70" s="136" t="s">
        <v>587</v>
      </c>
      <c r="D70" s="136"/>
      <c r="E70" s="784" t="s">
        <v>588</v>
      </c>
      <c r="F70" s="785"/>
      <c r="G70" s="165"/>
      <c r="H70" s="165"/>
      <c r="I70" s="747" t="str">
        <f t="shared" si="3"/>
        <v/>
      </c>
      <c r="J70" s="774"/>
      <c r="K70" s="774"/>
      <c r="L70" s="774"/>
      <c r="M70" s="774"/>
      <c r="N70" s="774"/>
      <c r="O70" s="774"/>
      <c r="P70" s="774"/>
      <c r="Q70" s="774"/>
      <c r="R70" s="774"/>
      <c r="S70" s="774"/>
      <c r="T70" s="774"/>
      <c r="U70" s="774"/>
      <c r="V70" s="774"/>
    </row>
    <row r="71" spans="2:22" ht="15">
      <c r="B71" s="783"/>
      <c r="C71" s="136" t="s">
        <v>589</v>
      </c>
      <c r="D71" s="136"/>
      <c r="E71" s="784" t="s">
        <v>590</v>
      </c>
      <c r="F71" s="785">
        <f>+'A6. Operations_Consolidated'!E85+'A6. Operations_Consolidated'!E86+'A6. Operations_Consolidated'!E87+'A6. Operations_Consolidated'!E88+'A6. Operations_Consolidated'!E92+'A6. Operations_Consolidated'!E93+'A6. Operations_Consolidated'!E94+'A6. Operations_Consolidated'!E96+'A6. Operations_Consolidated'!E97+'A6. Operations_Consolidated'!E99+'A6. Operations_Consolidated'!E100+'A6. Operations_Consolidated'!E101+'A6. Operations_Consolidated'!E102+'A6. Operations_Consolidated'!E108+'A6. Operations_Consolidated'!E109+'A7. 2025 CWELCC &amp; OTEF Recon'!D41+IF('A3. Peel Region Grants'!C117&gt;'A3. Peel Region Grants'!C107,(('A3. Peel Region Grants'!C117-'A3. Peel Region Grants'!C107)-(('A3. Peel Region Grants'!C117-'A3. Peel Region Grants'!C107)*'A3. Peel Region Grants'!I108)),0)</f>
        <v>0</v>
      </c>
      <c r="G71" s="165"/>
      <c r="H71" s="165"/>
      <c r="I71" s="747" t="str">
        <f>+IFERROR(F71/$F$73,"")</f>
        <v/>
      </c>
      <c r="J71" s="774"/>
      <c r="K71" s="774"/>
      <c r="L71" s="774"/>
      <c r="M71" s="774"/>
      <c r="N71" s="774"/>
      <c r="O71" s="774"/>
      <c r="P71" s="774"/>
      <c r="Q71" s="774"/>
      <c r="R71" s="774"/>
      <c r="S71" s="774"/>
      <c r="T71" s="774"/>
      <c r="U71" s="774"/>
      <c r="V71" s="774"/>
    </row>
    <row r="72" spans="2:22" ht="15.5">
      <c r="B72" s="157"/>
      <c r="C72" s="776"/>
      <c r="D72" s="776"/>
      <c r="E72" s="776"/>
      <c r="F72" s="780"/>
      <c r="G72" s="780"/>
      <c r="H72" s="780"/>
      <c r="I72" s="787"/>
      <c r="J72" s="774"/>
      <c r="K72" s="774"/>
      <c r="L72" s="774"/>
      <c r="M72" s="774"/>
      <c r="N72" s="774"/>
      <c r="O72" s="774"/>
      <c r="P72" s="774"/>
      <c r="Q72" s="774"/>
      <c r="R72" s="774"/>
      <c r="S72" s="774"/>
      <c r="T72" s="774"/>
      <c r="U72" s="774"/>
      <c r="V72" s="774"/>
    </row>
    <row r="73" spans="2:22" ht="30.5">
      <c r="B73" s="157"/>
      <c r="C73" s="788" t="s">
        <v>591</v>
      </c>
      <c r="D73" s="788"/>
      <c r="E73" s="788"/>
      <c r="F73" s="166">
        <f>+SUM(F40:F44,F48:F52,F56:F60,F63:F71)</f>
        <v>0</v>
      </c>
      <c r="G73" s="166"/>
      <c r="H73" s="166"/>
      <c r="I73" s="750">
        <f>+SUM(I40:I72)</f>
        <v>0</v>
      </c>
      <c r="J73" s="774"/>
      <c r="K73" s="774"/>
      <c r="L73" s="774"/>
      <c r="M73" s="774"/>
      <c r="N73" s="774"/>
      <c r="O73" s="774"/>
      <c r="P73" s="774"/>
      <c r="Q73" s="774"/>
      <c r="R73" s="774"/>
      <c r="S73" s="774"/>
      <c r="T73" s="774"/>
      <c r="U73" s="774"/>
      <c r="V73" s="774"/>
    </row>
    <row r="74" spans="2:22" ht="15.5">
      <c r="B74" s="157"/>
      <c r="C74" s="788"/>
      <c r="D74" s="788"/>
      <c r="E74" s="788"/>
      <c r="F74" s="166"/>
      <c r="G74" s="166"/>
      <c r="H74" s="166"/>
      <c r="I74" s="434"/>
      <c r="J74" s="774"/>
      <c r="K74" s="774"/>
      <c r="L74" s="774"/>
      <c r="M74" s="774"/>
      <c r="N74" s="774"/>
      <c r="O74" s="774"/>
      <c r="P74" s="774"/>
      <c r="Q74" s="774"/>
      <c r="R74" s="774"/>
      <c r="S74" s="774"/>
      <c r="T74" s="774"/>
      <c r="U74" s="774"/>
      <c r="V74" s="774"/>
    </row>
    <row r="75" spans="2:22" ht="15.5">
      <c r="B75" s="160"/>
      <c r="C75" s="776" t="s">
        <v>592</v>
      </c>
      <c r="D75" s="776"/>
      <c r="E75" s="789" t="s">
        <v>593</v>
      </c>
      <c r="F75" s="771">
        <f>'A8. GovGrants input'!E36+'A9. SummaryOfReconciliations '!D22+'A9. SummaryOfReconciliations '!F22</f>
        <v>0</v>
      </c>
      <c r="G75" s="153"/>
      <c r="H75" s="153"/>
      <c r="I75" s="211"/>
      <c r="J75" s="774"/>
      <c r="K75" s="774"/>
      <c r="L75" s="774"/>
      <c r="M75" s="774"/>
      <c r="N75" s="774"/>
      <c r="O75" s="774"/>
      <c r="P75" s="774"/>
      <c r="Q75" s="774"/>
      <c r="R75" s="774"/>
      <c r="S75" s="774"/>
      <c r="T75" s="774"/>
      <c r="U75" s="774"/>
      <c r="V75" s="774"/>
    </row>
    <row r="76" spans="2:22" ht="15.5">
      <c r="B76" s="1"/>
      <c r="C76" s="133"/>
      <c r="D76" s="133"/>
      <c r="E76" s="133"/>
      <c r="F76" s="1"/>
      <c r="G76" s="1"/>
      <c r="H76" s="1"/>
      <c r="I76" s="595"/>
      <c r="J76" s="774"/>
      <c r="K76" s="774"/>
      <c r="L76" s="774"/>
      <c r="M76" s="774"/>
      <c r="N76" s="774"/>
      <c r="O76" s="774"/>
      <c r="P76" s="774"/>
      <c r="Q76" s="774"/>
      <c r="R76" s="774"/>
      <c r="S76" s="774"/>
      <c r="T76" s="774"/>
      <c r="U76" s="774"/>
      <c r="V76" s="774"/>
    </row>
    <row r="77" spans="2:22" ht="30.5">
      <c r="B77" s="1"/>
      <c r="C77" s="788" t="s">
        <v>594</v>
      </c>
      <c r="D77" s="788"/>
      <c r="E77" s="788"/>
      <c r="F77" s="166">
        <f>+F73+F75</f>
        <v>0</v>
      </c>
      <c r="G77" s="166"/>
      <c r="H77" s="166"/>
      <c r="I77" s="434"/>
      <c r="J77" s="774"/>
      <c r="K77" s="774"/>
      <c r="L77" s="774"/>
      <c r="M77" s="774"/>
      <c r="N77" s="774"/>
      <c r="O77" s="774"/>
      <c r="P77" s="774"/>
      <c r="Q77" s="774"/>
      <c r="R77" s="774"/>
      <c r="S77" s="774"/>
      <c r="T77" s="774"/>
      <c r="U77" s="774"/>
      <c r="V77" s="774"/>
    </row>
    <row r="78" spans="2:22" ht="15.5">
      <c r="B78" s="1"/>
      <c r="C78" s="133"/>
      <c r="D78" s="133"/>
      <c r="E78" s="133"/>
      <c r="F78" s="130"/>
      <c r="G78" s="131"/>
      <c r="H78" s="131"/>
      <c r="I78" s="595"/>
      <c r="J78" s="774"/>
      <c r="K78" s="774"/>
      <c r="L78" s="774"/>
      <c r="M78" s="774"/>
      <c r="N78" s="774"/>
      <c r="O78" s="774"/>
      <c r="P78" s="774"/>
      <c r="Q78" s="774"/>
      <c r="R78" s="774"/>
      <c r="S78" s="774"/>
      <c r="T78" s="774"/>
      <c r="U78" s="774"/>
      <c r="V78" s="774"/>
    </row>
    <row r="79" spans="2:22" ht="30.5">
      <c r="B79" s="1"/>
      <c r="C79" s="790" t="str">
        <f>"Of the "&amp;TEXT(F77,"$#,###.00")&amp;", how much was specifically spent to support the inclusion of eligible children with special needs?"</f>
        <v>Of the $.00, how much was specifically spent to support the inclusion of eligible children with special needs?</v>
      </c>
      <c r="D79" s="788"/>
      <c r="E79" s="789" t="s">
        <v>595</v>
      </c>
      <c r="F79" s="771">
        <f>'A4. KPIs'!E54+'A4. KPIs'!F54+'A4. KPIs'!G54+'A4. KPIs'!H54+'A4. KPIs'!I54</f>
        <v>0</v>
      </c>
      <c r="G79" s="166"/>
      <c r="H79" s="166"/>
      <c r="I79" s="434"/>
      <c r="J79" s="774"/>
      <c r="K79" s="774"/>
      <c r="L79" s="774"/>
      <c r="M79" s="774"/>
      <c r="N79" s="774"/>
      <c r="O79" s="774"/>
      <c r="P79" s="774"/>
      <c r="Q79" s="774"/>
      <c r="R79" s="774"/>
      <c r="S79" s="774"/>
      <c r="T79" s="774"/>
      <c r="U79" s="774"/>
      <c r="V79" s="774"/>
    </row>
    <row r="80" spans="2:22" ht="15.5">
      <c r="B80" s="1"/>
      <c r="C80" s="133"/>
      <c r="D80" s="133"/>
      <c r="E80" s="133"/>
      <c r="F80" s="1"/>
      <c r="G80" s="1"/>
      <c r="H80" s="1"/>
      <c r="I80" s="595"/>
      <c r="J80" s="774"/>
      <c r="K80" s="774"/>
      <c r="L80" s="774"/>
      <c r="M80" s="774"/>
      <c r="N80" s="774"/>
      <c r="O80" s="774"/>
      <c r="P80" s="774"/>
      <c r="Q80" s="774"/>
      <c r="R80" s="774"/>
      <c r="S80" s="774"/>
      <c r="T80" s="774"/>
      <c r="U80" s="774"/>
      <c r="V80" s="774"/>
    </row>
    <row r="81" spans="2:22" ht="15.5">
      <c r="B81" s="148"/>
      <c r="C81" s="776" t="s">
        <v>596</v>
      </c>
      <c r="D81" s="776"/>
      <c r="E81" s="791"/>
      <c r="F81" s="1" t="s">
        <v>597</v>
      </c>
      <c r="G81" s="148"/>
      <c r="H81" s="148"/>
      <c r="I81" s="1" t="s">
        <v>598</v>
      </c>
      <c r="J81" s="774"/>
      <c r="K81" s="774"/>
      <c r="L81" s="774"/>
      <c r="M81" s="774"/>
      <c r="N81" s="774"/>
      <c r="O81" s="774"/>
      <c r="P81" s="774"/>
      <c r="Q81" s="774"/>
      <c r="R81" s="774"/>
      <c r="S81" s="774"/>
      <c r="T81" s="774"/>
      <c r="U81" s="774"/>
      <c r="V81" s="774"/>
    </row>
    <row r="82" spans="2:22" ht="15">
      <c r="B82" s="167" t="s">
        <v>599</v>
      </c>
      <c r="C82" s="792">
        <f>'A1. Identification'!D14</f>
        <v>0</v>
      </c>
      <c r="D82" s="168"/>
      <c r="E82" s="167" t="s">
        <v>600</v>
      </c>
      <c r="F82" s="793">
        <f>'A1. Identification'!D15</f>
        <v>0</v>
      </c>
      <c r="G82" s="169"/>
      <c r="H82" s="167" t="s">
        <v>601</v>
      </c>
      <c r="I82">
        <f>'A1. Identification'!D16</f>
        <v>0</v>
      </c>
    </row>
    <row r="85" spans="2:22" ht="17.5">
      <c r="B85" s="769" t="s">
        <v>602</v>
      </c>
      <c r="C85" s="133"/>
      <c r="D85" s="133"/>
      <c r="E85" s="133"/>
      <c r="F85" s="149"/>
      <c r="G85" s="170"/>
      <c r="H85" s="170"/>
      <c r="I85" s="773"/>
    </row>
    <row r="86" spans="2:22" ht="17.5">
      <c r="B86" s="769"/>
      <c r="C86" s="133"/>
      <c r="D86" s="133"/>
      <c r="E86" s="133"/>
      <c r="F86" s="149"/>
      <c r="G86" s="170"/>
      <c r="H86" s="170"/>
      <c r="I86" s="773"/>
    </row>
    <row r="87" spans="2:22" ht="17.5">
      <c r="B87" s="769"/>
      <c r="C87" s="1" t="s">
        <v>603</v>
      </c>
      <c r="D87" s="148"/>
      <c r="E87" s="133"/>
      <c r="F87" s="130"/>
      <c r="G87" s="170"/>
      <c r="H87" s="170"/>
      <c r="I87" s="773"/>
    </row>
    <row r="88" spans="2:22" ht="15.5">
      <c r="B88" s="167" t="s">
        <v>604</v>
      </c>
      <c r="C88" s="795">
        <f>'A1. Identification'!D17</f>
        <v>0</v>
      </c>
      <c r="D88" s="171"/>
      <c r="E88" s="133"/>
      <c r="F88" s="149"/>
      <c r="G88" s="170"/>
      <c r="H88" s="170"/>
      <c r="I88" s="773"/>
    </row>
    <row r="89" spans="2:22" ht="17.5">
      <c r="B89" s="769"/>
      <c r="C89" s="172" t="str">
        <f>IF(AND(C88="",F10=""),"WARNING: Signing Officer and License Number are needed to complete attestation.","")</f>
        <v/>
      </c>
      <c r="D89" s="171"/>
      <c r="E89" s="133"/>
      <c r="F89" s="150"/>
      <c r="G89" s="170"/>
      <c r="H89" s="170"/>
      <c r="I89" s="773"/>
    </row>
    <row r="90" spans="2:22" ht="15.5">
      <c r="B90" s="1"/>
      <c r="C90" s="796" t="str">
        <f>IF(C88="","[The attestation text will appear once box 4C is completed]","Attestation")</f>
        <v>Attestation</v>
      </c>
      <c r="D90" s="173"/>
      <c r="E90" s="133"/>
      <c r="F90" s="149"/>
      <c r="G90" s="149"/>
      <c r="H90" s="149"/>
      <c r="I90" s="773"/>
    </row>
    <row r="91" spans="2:22" ht="15.5">
      <c r="B91" s="1"/>
      <c r="C91" s="174" t="str">
        <f>IF(C88="","","I, "&amp;C88&amp;", confirm that:")</f>
        <v>I, 0, confirm that:</v>
      </c>
      <c r="D91" s="173"/>
      <c r="E91" s="133"/>
      <c r="F91" s="1"/>
      <c r="G91" s="149"/>
      <c r="H91" s="149"/>
      <c r="I91" s="773"/>
    </row>
    <row r="92" spans="2:22" ht="15.5">
      <c r="B92" s="1"/>
      <c r="C92" s="175" t="str">
        <f>IF(C88="",""," I have signing authority for the licenses associated with the centre in Peel called "&amp;F9&amp;".")</f>
        <v xml:space="preserve"> I have signing authority for the licenses associated with the centre in Peel called 0.</v>
      </c>
      <c r="D92" s="173"/>
      <c r="E92" s="133"/>
      <c r="F92" s="149"/>
      <c r="G92" s="149"/>
      <c r="H92" s="149"/>
      <c r="I92" s="773"/>
    </row>
    <row r="93" spans="2:22" ht="55.5" customHeight="1">
      <c r="B93" s="1"/>
      <c r="C93" s="175" t="str">
        <f>IF(C88="","","The information contained in this Standardized Financial Report for the reporting year "&amp;F14&amp;" is accurate and a true reflection of the eligible costs incurred by the licensee for which cost-based funding was used.")</f>
        <v>The information contained in this Standardized Financial Report for the reporting year 2025 is accurate and a true reflection of the eligible costs incurred by the licensee for which cost-based funding was used.</v>
      </c>
      <c r="D93" s="173"/>
      <c r="E93" s="133"/>
      <c r="F93" s="149"/>
      <c r="G93" s="149"/>
      <c r="H93" s="149"/>
      <c r="I93" s="773"/>
    </row>
    <row r="94" spans="2:22" ht="46.5" customHeight="1">
      <c r="B94" s="1"/>
      <c r="C94" s="175" t="str">
        <f>IF(C88="","","Cost-based allocation funding was used by the licensee to cover eligible costs only in accordance with the parameters established by "&amp;F9&amp;". ")</f>
        <v xml:space="preserve">Cost-based allocation funding was used by the licensee to cover eligible costs only in accordance with the parameters established by 0. </v>
      </c>
      <c r="D94" s="173"/>
      <c r="E94" s="133"/>
      <c r="F94" s="149"/>
      <c r="G94" s="149"/>
      <c r="H94" s="149"/>
      <c r="I94" s="773"/>
    </row>
    <row r="95" spans="2:22" ht="20">
      <c r="B95" s="1"/>
      <c r="C95" s="797" t="s">
        <v>605</v>
      </c>
      <c r="D95" s="797"/>
      <c r="E95" s="797"/>
      <c r="F95" s="2" t="s">
        <v>606</v>
      </c>
      <c r="G95" s="148"/>
      <c r="H95" s="148"/>
      <c r="I95" s="1"/>
    </row>
    <row r="96" spans="2:22" ht="20">
      <c r="B96" s="1"/>
      <c r="C96" s="870">
        <f>'A1. Identification'!D26</f>
        <v>0</v>
      </c>
      <c r="D96" s="176"/>
      <c r="E96" s="167" t="s">
        <v>607</v>
      </c>
      <c r="F96" s="798">
        <f>'A1. Identification'!D28</f>
        <v>0</v>
      </c>
      <c r="G96" s="171"/>
      <c r="H96" s="171"/>
      <c r="I96" s="1"/>
    </row>
    <row r="97" spans="2:9" ht="30.5">
      <c r="B97" s="1"/>
      <c r="C97" s="133" t="s">
        <v>608</v>
      </c>
      <c r="D97" s="133"/>
      <c r="E97" s="133"/>
      <c r="F97" s="177"/>
      <c r="G97" s="178"/>
      <c r="H97" s="156"/>
      <c r="I97" s="1"/>
    </row>
  </sheetData>
  <sheetProtection algorithmName="SHA-512" hashValue="aGapHTt2DKkhLucw3lAjNiIoipCDgMrMRIsrO0oUudwrgHlezxqQmFERi/UY/ATk69oWnQOB0X+2eC/oXvDacQ==" saltValue="Or6QjfcUF4b6s7edMYs84g==" spinCount="100000" sheet="1" objects="1" scenarios="1"/>
  <mergeCells count="1">
    <mergeCell ref="A1:I1"/>
  </mergeCells>
  <conditionalFormatting sqref="C91:C94">
    <cfRule type="cellIs" dxfId="18" priority="2" operator="notEqual">
      <formula>""</formula>
    </cfRule>
  </conditionalFormatting>
  <conditionalFormatting sqref="C88:D88 D89:D94">
    <cfRule type="cellIs" dxfId="17" priority="3" operator="notEqual">
      <formula>""</formula>
    </cfRule>
  </conditionalFormatting>
  <conditionalFormatting sqref="C96:D96">
    <cfRule type="notContainsBlanks" dxfId="16" priority="5">
      <formula>LEN(TRIM(C96))&gt;0</formula>
    </cfRule>
  </conditionalFormatting>
  <conditionalFormatting sqref="F21:F26">
    <cfRule type="cellIs" dxfId="15" priority="1" operator="notEqual">
      <formula>""</formula>
    </cfRule>
  </conditionalFormatting>
  <conditionalFormatting sqref="F79">
    <cfRule type="cellIs" dxfId="14" priority="6" operator="notEqual">
      <formula>""</formula>
    </cfRule>
  </conditionalFormatting>
  <conditionalFormatting sqref="F8:H14 H27">
    <cfRule type="cellIs" dxfId="13" priority="10" operator="notEqual">
      <formula>""</formula>
    </cfRule>
  </conditionalFormatting>
  <conditionalFormatting sqref="F18:H18">
    <cfRule type="cellIs" dxfId="12" priority="11" operator="notEqual">
      <formula>""</formula>
    </cfRule>
  </conditionalFormatting>
  <conditionalFormatting sqref="F32:H33 F40:H45 F48:H53 F56:H60 F63:H71 F75:H75 C82:D82 F82:G82 I82">
    <cfRule type="cellIs" dxfId="11" priority="7" operator="notEqual">
      <formula>""</formula>
    </cfRule>
  </conditionalFormatting>
  <conditionalFormatting sqref="F96:H96">
    <cfRule type="cellIs" dxfId="10" priority="4" operator="notEqual">
      <formula>""</formula>
    </cfRule>
  </conditionalFormatting>
  <conditionalFormatting sqref="I21:I26">
    <cfRule type="cellIs" dxfId="9" priority="9" operator="notEqual">
      <formula>""</formula>
    </cfRule>
  </conditionalFormatting>
  <conditionalFormatting sqref="I38:I39">
    <cfRule type="top10" dxfId="8" priority="8" percent="1" rank="10"/>
  </conditionalFormatting>
  <dataValidations count="21">
    <dataValidation type="date" allowBlank="1" showInputMessage="1" showErrorMessage="1" error="Date must be between April 1st, 2022 and December 31, 2025" prompt="(yyyy-mm-dd)" sqref="F11" xr:uid="{6D3FA880-D6B7-4A5E-83F8-1576E4017EDB}">
      <formula1>44652</formula1>
      <formula2>46022</formula2>
    </dataValidation>
    <dataValidation type="list" allowBlank="1" showInputMessage="1" showErrorMessage="1" error="Please select from drop-down list" sqref="F12" xr:uid="{AD8CB9C8-8B39-48E4-AF9E-57096DC21D61}">
      <formula1>SSMs</formula1>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8" xr:uid="{999AB711-4470-400C-AFAE-518AFA22C5C7}">
      <formula1>0</formula1>
      <formula2>365</formula2>
    </dataValidation>
    <dataValidation type="date" allowBlank="1" showInputMessage="1" showErrorMessage="1" error="Date must between April 1st, 2022 and December 31, 2025" prompt="(yyyy-mm-dd)" sqref="G11:G12" xr:uid="{9A4E36FB-D301-43A0-83CC-F6993328069D}">
      <formula1>44652</formula1>
      <formula2>46022</formula2>
    </dataValidation>
    <dataValidation type="whole" allowBlank="1" showInputMessage="1" showErrorMessage="1" error="Must be greater than zero and less than  365" sqref="G18:H18" xr:uid="{5278B73C-B460-473D-834F-C16F22B216ED}">
      <formula1>0</formula1>
      <formula2>365</formula2>
    </dataValidation>
    <dataValidation allowBlank="1" showInputMessage="1" showErrorMessage="1" prompt="For example, 10 infant licensed spaces for 200 service days and 5 infant licensed spaces for 100 service days would be (10X20)+(5X100) = 2,500 infant licensed space-days" sqref="I20" xr:uid="{F0D0472F-1D90-4674-B0E5-231E4B07EA12}"/>
    <dataValidation allowBlank="1" showInputMessage="1" showErrorMessage="1" prompt="For example, 10 infant operating spaces for 200 service days and 5 infant operating spaces for 100 service days would be (10X20)+(5X100) = 2,500 infant operating space-days" sqref="F20" xr:uid="{6CB8A945-8338-44C2-A853-5B973C39A441}"/>
    <dataValidation type="whole" operator="greaterThanOrEqual" allowBlank="1" showInputMessage="1" showErrorMessage="1" error="Must be a number greater than or equal to 0" sqref="I21:I26 F21:F26" xr:uid="{DFAB0078-89BB-4BDF-B06A-D67FDF9AB9E0}">
      <formula1>0</formula1>
    </dataValidation>
    <dataValidation type="whole" operator="greaterThanOrEqual" allowBlank="1" showInputMessage="1" showErrorMessage="1" error="Must be whole number, equal or larger than 0" sqref="F27 H27:I27" xr:uid="{DE7E48A3-F260-45A2-AFEF-D6C1D90779D1}">
      <formula1>0</formula1>
    </dataValidation>
    <dataValidation type="decimal" allowBlank="1" showInputMessage="1" showErrorMessage="1" error="Must be a number between 0 and the sum of all eligible costs incurred for the eligible centre, AFTER one-time, unexpected costs" prompt="A “child with special needs” means a child whose cognitive, physical, social, emotional or communicative needs, or whose needs relating to overall development, are of such a nature that additional supports are required for the child." sqref="F79" xr:uid="{056D5E6B-B9F2-4187-AC4C-03411997435D}">
      <formula1>0</formula1>
      <formula2>F77</formula2>
    </dataValidation>
    <dataValidation type="custom" allowBlank="1" showInputMessage="1" showErrorMessage="1" error="Please enter valid email address" sqref="I82" xr:uid="{C41D5C23-FCF2-4ED5-BCE0-CACD9B3F1953}">
      <formula1>AND(ISNUMBER(FIND("@",I82)), ISNUMBER(FIND(".",I82)), FIND(".",I82) &gt; FIND("@",I82))</formula1>
    </dataValidation>
    <dataValidation type="decimal" operator="greaterThanOrEqual" allowBlank="1" showInputMessage="1" showErrorMessage="1" error="Must be an amount greater than or equal to 0." sqref="F33" xr:uid="{C5E624DE-2DA1-4A41-B8AE-AD9B7CBAB520}">
      <formula1>0</formula1>
    </dataValidation>
    <dataValidation type="decimal" operator="greaterThan" allowBlank="1" showInputMessage="1" showErrorMessage="1" error="Must be an amount greater than 0." sqref="F32" xr:uid="{65C190E0-1975-495D-9B90-42720248FE3B}">
      <formula1>0</formula1>
    </dataValidation>
    <dataValidation type="textLength" operator="lessThanOrEqual" allowBlank="1" showInputMessage="1" showErrorMessage="1" error="Must be 50 letters or less" sqref="C82 C88" xr:uid="{4996A7DF-F332-4B0D-A835-7EED75E08D97}">
      <formula1>50</formula1>
    </dataValidation>
    <dataValidation type="decimal" operator="greaterThan" allowBlank="1" showInputMessage="1" showErrorMessage="1" error="Must be an amount greater than or equal to zero." sqref="F48:F53 F56:F60 F63:F71 F41:F45 F40" xr:uid="{BD0A135F-E6F2-4B89-8EE7-12991D573EB2}">
      <formula1>0</formula1>
    </dataValidation>
    <dataValidation type="textLength" operator="equal" allowBlank="1" showInputMessage="1" showErrorMessage="1" error="Please enter 10 digit phone number" prompt="Please enter 10 digit phone number" sqref="F82" xr:uid="{ADFAA413-6335-444C-B675-6297F562D245}">
      <formula1>10</formula1>
    </dataValidation>
    <dataValidation type="decimal" operator="greaterThanOrEqual" allowBlank="1" showInputMessage="1" showErrorMessage="1" sqref="G40:H44" xr:uid="{5FC9EE68-31FA-44F4-BA5F-1ABEEAE0F00A}">
      <formula1>0</formula1>
    </dataValidation>
    <dataValidation allowBlank="1" showInputMessage="1" showErrorMessage="1" prompt="Please enter phone number as (###) ### - ###" sqref="G82" xr:uid="{6784817C-8E06-4824-8C4F-D5164F14DD67}"/>
    <dataValidation type="whole" operator="greaterThanOrEqual" allowBlank="1" showInputMessage="1" showErrorMessage="1" sqref="G48:H52 F75:H75 G33:H33 G63:H71" xr:uid="{F395D2FE-EFE7-4C3F-B67F-8541F69F356A}">
      <formula1>0</formula1>
    </dataValidation>
    <dataValidation type="whole" operator="greaterThan" allowBlank="1" showInputMessage="1" showErrorMessage="1" sqref="G32:H32" xr:uid="{712260C6-90E6-44EE-8D60-07CA51DFA645}">
      <formula1>0</formula1>
    </dataValidation>
    <dataValidation type="date" operator="greaterThanOrEqual" allowBlank="1" showInputMessage="1" showErrorMessage="1" error="Must be a date not earlier than today's date" sqref="F96" xr:uid="{CB831E15-7ACD-4C30-B676-5DC0E35B6A44}">
      <formula1>TODAY()</formula1>
    </dataValidation>
  </dataValidation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234E9-C7E0-4F80-BE3F-389C3856D85D}">
  <sheetPr>
    <tabColor rgb="FFFFC000"/>
  </sheetPr>
  <dimension ref="A1:M114"/>
  <sheetViews>
    <sheetView showGridLines="0" zoomScale="90" zoomScaleNormal="90" workbookViewId="0">
      <selection activeCell="E8" sqref="E8"/>
    </sheetView>
  </sheetViews>
  <sheetFormatPr defaultColWidth="0" defaultRowHeight="15" zeroHeight="1"/>
  <cols>
    <col min="1" max="1" width="3.1796875" style="1" customWidth="1"/>
    <col min="2" max="2" width="8.453125" style="1" customWidth="1"/>
    <col min="3" max="3" width="106.54296875" style="1" customWidth="1"/>
    <col min="4" max="4" width="8.453125" style="198" bestFit="1" customWidth="1"/>
    <col min="5" max="5" width="32" style="183" customWidth="1"/>
    <col min="6" max="6" width="27.453125" style="184" customWidth="1"/>
    <col min="7" max="7" width="43.1796875" style="1" hidden="1" customWidth="1"/>
    <col min="8" max="8" width="21.7265625" style="205" hidden="1" customWidth="1"/>
    <col min="9" max="9" width="7.1796875" style="1" hidden="1" customWidth="1"/>
    <col min="10" max="16384" width="9.1796875" style="1" hidden="1"/>
  </cols>
  <sheetData>
    <row r="1" spans="1:13" ht="26">
      <c r="A1" s="1211" t="s">
        <v>734</v>
      </c>
      <c r="B1" s="1210"/>
      <c r="C1" s="1210"/>
      <c r="D1" s="1210"/>
      <c r="E1" s="1210"/>
      <c r="F1" s="1210"/>
      <c r="G1" s="1210"/>
      <c r="H1" s="1210"/>
      <c r="I1" s="1210"/>
    </row>
    <row r="2" spans="1:13"/>
    <row r="3" spans="1:13" s="180" customFormat="1" ht="34.5" customHeight="1">
      <c r="A3" s="122" t="s">
        <v>487</v>
      </c>
      <c r="B3" s="123"/>
      <c r="C3" s="124"/>
      <c r="D3" s="179"/>
      <c r="E3" s="125"/>
      <c r="F3" s="126"/>
    </row>
    <row r="4" spans="1:13" ht="20">
      <c r="A4" s="181"/>
      <c r="B4" s="127"/>
      <c r="C4" s="127"/>
      <c r="D4" s="182"/>
      <c r="H4" s="1"/>
    </row>
    <row r="5" spans="1:13">
      <c r="A5" s="127"/>
      <c r="B5" s="127"/>
      <c r="C5" s="127"/>
      <c r="D5" s="182"/>
      <c r="H5" s="185"/>
    </row>
    <row r="6" spans="1:13" ht="17.5">
      <c r="B6" s="132" t="s">
        <v>488</v>
      </c>
      <c r="C6" s="133"/>
      <c r="D6" s="133"/>
      <c r="E6" s="133"/>
      <c r="F6" s="186"/>
      <c r="G6" s="186"/>
      <c r="H6" s="186"/>
      <c r="J6"/>
      <c r="K6" s="185"/>
      <c r="M6"/>
    </row>
    <row r="7" spans="1:13" ht="15.5">
      <c r="B7" s="187" t="s">
        <v>609</v>
      </c>
      <c r="C7" s="133"/>
      <c r="D7" s="133"/>
      <c r="E7" s="133"/>
      <c r="F7" s="186"/>
      <c r="G7" s="186"/>
      <c r="H7" s="186"/>
      <c r="J7"/>
      <c r="K7" s="185"/>
      <c r="L7" s="127"/>
      <c r="M7"/>
    </row>
    <row r="8" spans="1:13" s="134" customFormat="1">
      <c r="B8" s="135" t="s">
        <v>610</v>
      </c>
      <c r="C8" s="136"/>
      <c r="D8" s="136"/>
      <c r="E8" s="188" t="s">
        <v>726</v>
      </c>
      <c r="G8" s="189"/>
      <c r="H8" s="189"/>
      <c r="I8" s="1"/>
      <c r="L8" s="190"/>
    </row>
    <row r="9" spans="1:13" s="134" customFormat="1">
      <c r="B9" s="135" t="s">
        <v>301</v>
      </c>
      <c r="C9" s="136"/>
      <c r="D9" s="191" t="s">
        <v>491</v>
      </c>
      <c r="E9" s="882">
        <f>'A6. Operations_Consolidated'!F8</f>
        <v>0</v>
      </c>
      <c r="G9" s="193"/>
      <c r="H9" s="193"/>
      <c r="I9" s="1"/>
      <c r="K9" s="194"/>
      <c r="L9" s="190"/>
    </row>
    <row r="10" spans="1:13" s="134" customFormat="1">
      <c r="B10" s="135" t="s">
        <v>492</v>
      </c>
      <c r="D10" s="191" t="s">
        <v>493</v>
      </c>
      <c r="E10" s="192">
        <f>'A11.Licensee''s SFR&amp; Attestation'!F9</f>
        <v>0</v>
      </c>
      <c r="G10" s="193"/>
      <c r="H10" s="193"/>
      <c r="K10" s="194"/>
    </row>
    <row r="11" spans="1:13" s="134" customFormat="1">
      <c r="B11" s="135" t="s">
        <v>611</v>
      </c>
      <c r="C11" s="136"/>
      <c r="D11" s="191" t="s">
        <v>502</v>
      </c>
      <c r="E11" s="192">
        <v>2025</v>
      </c>
      <c r="G11" s="195"/>
      <c r="H11" s="195"/>
      <c r="I11" s="1"/>
      <c r="L11" s="190"/>
    </row>
    <row r="12" spans="1:13" ht="7.5" customHeight="1">
      <c r="C12" s="148"/>
      <c r="D12" s="182"/>
      <c r="E12" s="196"/>
      <c r="H12" s="185"/>
    </row>
    <row r="13" spans="1:13">
      <c r="A13" s="127"/>
      <c r="B13" s="197" t="s">
        <v>612</v>
      </c>
      <c r="H13" s="185"/>
    </row>
    <row r="14" spans="1:13">
      <c r="A14" s="127"/>
      <c r="B14" s="187" t="s">
        <v>613</v>
      </c>
      <c r="F14" s="528"/>
      <c r="H14" s="185"/>
    </row>
    <row r="15" spans="1:13" ht="30">
      <c r="B15" s="199"/>
      <c r="C15" s="200" t="s">
        <v>614</v>
      </c>
      <c r="D15" s="201" t="s">
        <v>615</v>
      </c>
      <c r="E15" s="974">
        <f>'A2.Allocation &amp; Operating Plan'!E24+'A2.Allocation &amp; Operating Plan'!F24+'A2.Allocation &amp; Operating Plan'!G24+'A2.Allocation &amp; Operating Plan'!H24+'A2.Allocation &amp; Operating Plan'!I24</f>
        <v>0</v>
      </c>
      <c r="F15" s="988"/>
      <c r="H15" s="185"/>
    </row>
    <row r="16" spans="1:13">
      <c r="B16" s="203"/>
      <c r="C16" s="194" t="s">
        <v>616</v>
      </c>
      <c r="D16" s="201" t="s">
        <v>617</v>
      </c>
      <c r="E16" s="974">
        <f>'A3. Peel Region Grants'!C70+'A3. Peel Region Grants'!C111</f>
        <v>0</v>
      </c>
      <c r="F16" s="989"/>
      <c r="H16" s="185"/>
    </row>
    <row r="17" spans="1:9" ht="7.5" customHeight="1">
      <c r="C17" s="148"/>
      <c r="D17" s="182"/>
      <c r="E17" s="196"/>
      <c r="F17" s="528"/>
      <c r="H17" s="185"/>
    </row>
    <row r="18" spans="1:9">
      <c r="A18" s="127"/>
      <c r="B18" s="187" t="s">
        <v>618</v>
      </c>
      <c r="F18" s="528"/>
      <c r="H18" s="185"/>
    </row>
    <row r="19" spans="1:9">
      <c r="A19" s="127"/>
      <c r="B19" s="187" t="s">
        <v>619</v>
      </c>
      <c r="F19" s="528"/>
      <c r="H19" s="185"/>
    </row>
    <row r="20" spans="1:9">
      <c r="A20" s="127"/>
      <c r="B20" s="203"/>
      <c r="C20" s="135" t="s">
        <v>620</v>
      </c>
      <c r="D20" s="163" t="s">
        <v>621</v>
      </c>
      <c r="E20" s="975">
        <f>SUM('A2.Allocation &amp; Operating Plan'!E13:E17)+SUM('A2.Allocation &amp; Operating Plan'!F13:F17)+SUM('A2.Allocation &amp; Operating Plan'!G13:G17)+SUM('A2.Allocation &amp; Operating Plan'!H13:H17)+SUM('A2.Allocation &amp; Operating Plan'!I13:I17)</f>
        <v>0</v>
      </c>
      <c r="F20" s="990"/>
    </row>
    <row r="21" spans="1:9">
      <c r="A21" s="127"/>
      <c r="B21" s="151"/>
      <c r="C21" s="206" t="s">
        <v>622</v>
      </c>
      <c r="D21" s="163" t="s">
        <v>623</v>
      </c>
      <c r="E21" s="975">
        <f>'A2.Allocation &amp; Operating Plan'!E18+'A2.Allocation &amp; Operating Plan'!F18+'A2.Allocation &amp; Operating Plan'!G18+'A2.Allocation &amp; Operating Plan'!H18+'A2.Allocation &amp; Operating Plan'!I18</f>
        <v>0</v>
      </c>
      <c r="F21" s="990"/>
      <c r="G21" s="207"/>
      <c r="H21" s="207"/>
      <c r="I21" s="207"/>
    </row>
    <row r="22" spans="1:9">
      <c r="A22" s="127"/>
      <c r="B22" s="151"/>
      <c r="C22" s="206" t="s">
        <v>624</v>
      </c>
      <c r="D22" s="163" t="s">
        <v>625</v>
      </c>
      <c r="E22" s="975">
        <f>'A2.Allocation &amp; Operating Plan'!E19+'A2.Allocation &amp; Operating Plan'!F19+'A2.Allocation &amp; Operating Plan'!G19+'A2.Allocation &amp; Operating Plan'!H19+'A2.Allocation &amp; Operating Plan'!I19</f>
        <v>0</v>
      </c>
      <c r="F22" s="990"/>
      <c r="G22" s="207"/>
      <c r="H22" s="207"/>
      <c r="I22" s="207"/>
    </row>
    <row r="23" spans="1:9">
      <c r="A23" s="127"/>
      <c r="B23" s="151"/>
      <c r="C23" s="208" t="s">
        <v>626</v>
      </c>
      <c r="D23" s="209"/>
      <c r="E23" s="210">
        <f>SUM(E20:E22)</f>
        <v>0</v>
      </c>
      <c r="F23" s="990"/>
      <c r="H23" s="1"/>
    </row>
    <row r="24" spans="1:9">
      <c r="B24" s="151"/>
      <c r="C24" s="206" t="s">
        <v>627</v>
      </c>
      <c r="D24" s="163" t="s">
        <v>628</v>
      </c>
      <c r="E24" s="975">
        <f>'A2.Allocation &amp; Operating Plan'!E23+'A2.Allocation &amp; Operating Plan'!F23+'A2.Allocation &amp; Operating Plan'!G23+'A2.Allocation &amp; Operating Plan'!H23+'A2.Allocation &amp; Operating Plan'!I23</f>
        <v>0</v>
      </c>
      <c r="F24" s="990"/>
      <c r="H24" s="185"/>
    </row>
    <row r="25" spans="1:9">
      <c r="B25" s="151"/>
      <c r="C25" s="206" t="s">
        <v>629</v>
      </c>
      <c r="D25" s="163" t="s">
        <v>630</v>
      </c>
      <c r="E25" s="975">
        <f>'A2.Allocation &amp; Operating Plan'!E21+'A2.Allocation &amp; Operating Plan'!F21+'A2.Allocation &amp; Operating Plan'!G21+'A2.Allocation &amp; Operating Plan'!H21+'A2.Allocation &amp; Operating Plan'!I21</f>
        <v>0</v>
      </c>
      <c r="F25" s="995"/>
      <c r="H25" s="185"/>
    </row>
    <row r="26" spans="1:9">
      <c r="A26" s="127"/>
      <c r="B26" s="151"/>
      <c r="C26" s="208" t="s">
        <v>631</v>
      </c>
      <c r="D26" s="209"/>
      <c r="E26" s="210">
        <f>SUM(E23:E25)</f>
        <v>0</v>
      </c>
      <c r="F26" s="212"/>
      <c r="H26" s="185"/>
    </row>
    <row r="27" spans="1:9">
      <c r="A27" s="148"/>
      <c r="B27" s="151"/>
      <c r="C27" s="213" t="s">
        <v>632</v>
      </c>
      <c r="D27" s="163" t="s">
        <v>633</v>
      </c>
      <c r="E27" s="975">
        <f>E16</f>
        <v>0</v>
      </c>
      <c r="F27" s="204"/>
      <c r="H27" s="185"/>
    </row>
    <row r="28" spans="1:9" ht="7.5" customHeight="1">
      <c r="C28" s="148"/>
      <c r="D28" s="182"/>
      <c r="E28" s="196"/>
      <c r="H28" s="185"/>
    </row>
    <row r="29" spans="1:9">
      <c r="B29" s="214" t="s">
        <v>634</v>
      </c>
      <c r="E29" s="196"/>
      <c r="F29" s="215"/>
      <c r="H29" s="185"/>
    </row>
    <row r="30" spans="1:9">
      <c r="B30" s="187" t="s">
        <v>635</v>
      </c>
      <c r="E30" s="2"/>
      <c r="G30" s="216"/>
      <c r="H30" s="216"/>
    </row>
    <row r="31" spans="1:9">
      <c r="B31" s="157"/>
      <c r="C31" s="217" t="s">
        <v>636</v>
      </c>
      <c r="D31" s="218"/>
      <c r="E31" s="219">
        <f>'A11.Licensee''s SFR&amp; Attestation'!F73</f>
        <v>0</v>
      </c>
      <c r="F31" s="751"/>
      <c r="G31" s="216"/>
      <c r="H31" s="216"/>
    </row>
    <row r="32" spans="1:9" ht="19" customHeight="1">
      <c r="B32" s="157"/>
      <c r="C32" s="220" t="s">
        <v>637</v>
      </c>
      <c r="D32" s="221"/>
      <c r="E32" s="222">
        <f>ProgramCostsAllocation</f>
        <v>0</v>
      </c>
      <c r="F32" s="204"/>
      <c r="G32" s="216"/>
      <c r="H32" s="216"/>
    </row>
    <row r="33" spans="1:8">
      <c r="B33" s="203"/>
      <c r="C33" s="223" t="s">
        <v>638</v>
      </c>
      <c r="D33" s="163" t="s">
        <v>639</v>
      </c>
      <c r="E33" s="224">
        <f>MIN(E31,E32)</f>
        <v>0</v>
      </c>
      <c r="F33" s="204"/>
      <c r="G33" s="216"/>
      <c r="H33" s="216"/>
    </row>
    <row r="34" spans="1:8" ht="7.5" customHeight="1">
      <c r="C34" s="148"/>
      <c r="D34" s="182"/>
      <c r="E34" s="196"/>
      <c r="H34" s="185"/>
    </row>
    <row r="35" spans="1:8">
      <c r="B35" s="214" t="s">
        <v>640</v>
      </c>
      <c r="C35" s="148"/>
      <c r="D35" s="182"/>
      <c r="E35" s="196"/>
      <c r="G35" s="216"/>
      <c r="H35" s="216"/>
    </row>
    <row r="36" spans="1:8">
      <c r="B36" s="187" t="s">
        <v>641</v>
      </c>
      <c r="E36" s="196"/>
      <c r="G36" s="216"/>
      <c r="H36" s="216"/>
    </row>
    <row r="37" spans="1:8" s="134" customFormat="1">
      <c r="C37" s="220" t="s">
        <v>642</v>
      </c>
      <c r="D37" s="221"/>
      <c r="E37" s="225">
        <f>4.25%*ActualProgramCosts</f>
        <v>0</v>
      </c>
      <c r="F37" s="212"/>
      <c r="G37" s="226"/>
      <c r="H37" s="226"/>
    </row>
    <row r="38" spans="1:8" s="134" customFormat="1" ht="30">
      <c r="C38" s="220" t="s">
        <v>643</v>
      </c>
      <c r="D38" s="221"/>
      <c r="E38" s="225">
        <f>3.5%*MIN(ActualProgramCosts,BenchmarkAllocation)</f>
        <v>0</v>
      </c>
      <c r="F38" s="204"/>
      <c r="G38" s="226"/>
      <c r="H38" s="226"/>
    </row>
    <row r="39" spans="1:8" s="134" customFormat="1" ht="30">
      <c r="C39" s="220" t="s">
        <v>644</v>
      </c>
      <c r="D39" s="221"/>
      <c r="E39" s="227">
        <f>'A7. 2025 CWELCC &amp; OTEF Recon'!D69</f>
        <v>0</v>
      </c>
      <c r="F39" s="228"/>
      <c r="G39" s="229"/>
      <c r="H39" s="229"/>
    </row>
    <row r="40" spans="1:8">
      <c r="B40" s="230"/>
      <c r="C40" s="231" t="s">
        <v>645</v>
      </c>
      <c r="D40" s="163" t="s">
        <v>646</v>
      </c>
      <c r="E40" s="232">
        <f>ROUND(SUM(E37:E39),0)</f>
        <v>0</v>
      </c>
      <c r="F40" s="204"/>
      <c r="G40" s="233"/>
      <c r="H40" s="233"/>
    </row>
    <row r="41" spans="1:8" ht="7.5" customHeight="1">
      <c r="C41" s="148"/>
      <c r="D41" s="182"/>
      <c r="E41" s="196"/>
      <c r="H41" s="185"/>
    </row>
    <row r="42" spans="1:8">
      <c r="B42" s="214" t="s">
        <v>647</v>
      </c>
      <c r="C42" s="148"/>
      <c r="D42" s="182"/>
      <c r="E42" s="196"/>
      <c r="H42" s="185"/>
    </row>
    <row r="43" spans="1:8">
      <c r="B43" s="187" t="s">
        <v>648</v>
      </c>
      <c r="E43" s="2"/>
      <c r="H43" s="185"/>
    </row>
    <row r="44" spans="1:8">
      <c r="B44" s="234"/>
      <c r="C44" s="1" t="s">
        <v>649</v>
      </c>
      <c r="E44" s="235">
        <f>'A11.Licensee''s SFR&amp; Attestation'!F32</f>
        <v>0</v>
      </c>
      <c r="F44" s="204"/>
      <c r="H44" s="185"/>
    </row>
    <row r="45" spans="1:8">
      <c r="B45" s="234"/>
      <c r="C45" s="1" t="s">
        <v>650</v>
      </c>
      <c r="E45" s="235">
        <f>'A11.Licensee''s SFR&amp; Attestation'!F33</f>
        <v>0</v>
      </c>
      <c r="F45" s="204"/>
      <c r="H45" s="185"/>
    </row>
    <row r="46" spans="1:8">
      <c r="B46" s="234"/>
      <c r="C46" s="1" t="s">
        <v>651</v>
      </c>
      <c r="E46" s="235">
        <f>-E25</f>
        <v>0</v>
      </c>
      <c r="F46" s="236"/>
      <c r="H46" s="185"/>
    </row>
    <row r="47" spans="1:8">
      <c r="A47" s="148"/>
      <c r="B47" s="203"/>
      <c r="C47" s="231" t="s">
        <v>652</v>
      </c>
      <c r="D47" s="163" t="s">
        <v>653</v>
      </c>
      <c r="E47" s="232">
        <f>MAX(E46,E44+E45)</f>
        <v>0</v>
      </c>
      <c r="F47" s="204"/>
      <c r="H47" s="185"/>
    </row>
    <row r="48" spans="1:8" ht="7.5" customHeight="1">
      <c r="C48" s="148"/>
      <c r="D48" s="182"/>
      <c r="E48" s="196"/>
      <c r="H48" s="185"/>
    </row>
    <row r="49" spans="1:8">
      <c r="A49" s="148"/>
      <c r="B49" s="214" t="s">
        <v>654</v>
      </c>
      <c r="C49" s="148"/>
      <c r="D49" s="182"/>
      <c r="E49" s="237"/>
      <c r="H49" s="185"/>
    </row>
    <row r="50" spans="1:8">
      <c r="A50" s="148"/>
      <c r="B50" s="187" t="s">
        <v>655</v>
      </c>
      <c r="C50" s="148"/>
      <c r="D50" s="182"/>
      <c r="E50" s="237"/>
      <c r="H50" s="185"/>
    </row>
    <row r="51" spans="1:8">
      <c r="A51" s="148"/>
      <c r="B51" s="214"/>
      <c r="C51" s="1" t="s">
        <v>533</v>
      </c>
      <c r="E51" s="222">
        <f>+E33</f>
        <v>0</v>
      </c>
      <c r="F51" s="204"/>
      <c r="H51" s="185"/>
    </row>
    <row r="52" spans="1:8">
      <c r="A52" s="148"/>
      <c r="B52" s="214"/>
      <c r="C52" s="1" t="s">
        <v>656</v>
      </c>
      <c r="E52" s="222">
        <f>+E40</f>
        <v>0</v>
      </c>
      <c r="F52" s="204"/>
      <c r="H52" s="185"/>
    </row>
    <row r="53" spans="1:8">
      <c r="A53" s="148"/>
      <c r="B53" s="214"/>
      <c r="C53" s="1" t="s">
        <v>657</v>
      </c>
      <c r="E53" s="235">
        <f>-E47</f>
        <v>0</v>
      </c>
      <c r="F53" s="236"/>
      <c r="H53" s="185"/>
    </row>
    <row r="54" spans="1:8">
      <c r="B54" s="203"/>
      <c r="C54" s="231" t="s">
        <v>658</v>
      </c>
      <c r="D54" s="163" t="s">
        <v>659</v>
      </c>
      <c r="E54" s="232">
        <f>SUM(E51:E53)</f>
        <v>0</v>
      </c>
      <c r="F54" s="204"/>
      <c r="H54" s="185"/>
    </row>
    <row r="55" spans="1:8" ht="7.5" customHeight="1">
      <c r="C55" s="148"/>
      <c r="D55" s="182"/>
      <c r="E55" s="196"/>
      <c r="H55" s="185"/>
    </row>
    <row r="56" spans="1:8">
      <c r="A56" s="148"/>
      <c r="B56" s="238" t="s">
        <v>660</v>
      </c>
      <c r="C56" s="239"/>
      <c r="D56" s="240"/>
      <c r="E56" s="202"/>
      <c r="H56" s="185"/>
    </row>
    <row r="57" spans="1:8">
      <c r="A57" s="148"/>
      <c r="B57" s="187" t="s">
        <v>661</v>
      </c>
      <c r="C57" s="239"/>
      <c r="D57" s="240"/>
      <c r="E57" s="241"/>
      <c r="H57" s="185"/>
    </row>
    <row r="58" spans="1:8">
      <c r="C58" s="242" t="s">
        <v>662</v>
      </c>
      <c r="E58" s="222">
        <f>+E15</f>
        <v>0</v>
      </c>
      <c r="F58" s="204"/>
      <c r="H58" s="185"/>
    </row>
    <row r="59" spans="1:8">
      <c r="B59" s="203"/>
      <c r="C59" s="242" t="s">
        <v>663</v>
      </c>
      <c r="E59" s="222">
        <f>+E54</f>
        <v>0</v>
      </c>
      <c r="F59" s="204"/>
      <c r="H59" s="185"/>
    </row>
    <row r="60" spans="1:8">
      <c r="B60" s="203"/>
      <c r="C60" s="231" t="str" cm="1">
        <f t="array" ref="C60">+_xlfn.IFS(E60=0,"= No amount due", E60&lt;0,"= Payable to the licensee in respect Actual Cost-Based Funding", 1,"= Overpayment. Amount payable to the CMSM/DSSAB in respect of Actual Cost-Based Funding")</f>
        <v>= No amount due</v>
      </c>
      <c r="D60" s="163" t="s">
        <v>664</v>
      </c>
      <c r="E60" s="232">
        <f>ROUND(E58-E59,2)</f>
        <v>0</v>
      </c>
      <c r="F60" s="204"/>
      <c r="G60" s="202"/>
      <c r="H60" s="185"/>
    </row>
    <row r="61" spans="1:8" ht="12.75" customHeight="1">
      <c r="C61" s="148"/>
      <c r="D61" s="182"/>
      <c r="E61" s="196"/>
      <c r="H61" s="185"/>
    </row>
    <row r="62" spans="1:8" ht="15.75" customHeight="1">
      <c r="A62" s="148"/>
      <c r="B62" s="187" t="s">
        <v>665</v>
      </c>
      <c r="C62" s="239"/>
      <c r="D62" s="240"/>
      <c r="E62" s="241"/>
      <c r="F62" s="1212" t="str">
        <f>IF('A3. Peel Region Grants'!I76&gt;0,"Deferred revenue and amount spent being added as spent until recon completed."," ")</f>
        <v xml:space="preserve"> </v>
      </c>
      <c r="H62" s="185"/>
    </row>
    <row r="63" spans="1:8" ht="15.75" customHeight="1">
      <c r="B63" s="243"/>
      <c r="C63" s="185" t="s">
        <v>666</v>
      </c>
      <c r="D63" s="244"/>
      <c r="E63" s="222">
        <f>'A11.Licensee''s SFR&amp; Attestation'!F75</f>
        <v>0</v>
      </c>
      <c r="F63" s="1212"/>
      <c r="H63" s="156"/>
    </row>
    <row r="64" spans="1:8">
      <c r="A64" s="148"/>
      <c r="B64" s="245"/>
      <c r="C64" s="185" t="s">
        <v>667</v>
      </c>
      <c r="D64" s="244"/>
      <c r="E64" s="222">
        <f>+E27</f>
        <v>0</v>
      </c>
      <c r="F64" s="1212"/>
      <c r="H64" s="246"/>
    </row>
    <row r="65" spans="1:8">
      <c r="B65" s="160"/>
      <c r="C65" s="247" t="s">
        <v>668</v>
      </c>
      <c r="D65" s="163" t="s">
        <v>669</v>
      </c>
      <c r="E65" s="248">
        <f>MIN(E64,E63)</f>
        <v>0</v>
      </c>
      <c r="F65" s="1212"/>
      <c r="H65" s="156"/>
    </row>
    <row r="66" spans="1:8">
      <c r="B66" s="249"/>
      <c r="C66" s="194" t="s">
        <v>670</v>
      </c>
      <c r="D66" s="244"/>
      <c r="E66" s="222">
        <f>+E16</f>
        <v>0</v>
      </c>
      <c r="F66" s="1212"/>
      <c r="H66" s="246"/>
    </row>
    <row r="67" spans="1:8">
      <c r="B67" s="251"/>
      <c r="C67" s="252" t="str" cm="1">
        <f t="array" ref="C67">+_xlfn.IFS(E67=0,"= No amount due",E67&lt;0,"= Payable to the licensee in respect Actual Cost-Based Funding",1, "= Overpayment. Amount payable to the CMSM/DSSAB in respect of one-time, unexpected cost")</f>
        <v>= No amount due</v>
      </c>
      <c r="D67" s="163" t="s">
        <v>671</v>
      </c>
      <c r="E67" s="232">
        <f>+E66-E65</f>
        <v>0</v>
      </c>
      <c r="F67" s="250"/>
      <c r="G67" s="202"/>
      <c r="H67" s="210"/>
    </row>
    <row r="68" spans="1:8">
      <c r="B68" s="251"/>
      <c r="D68" s="527"/>
      <c r="E68" s="1"/>
      <c r="F68" s="250"/>
      <c r="G68" s="202"/>
      <c r="H68" s="210"/>
    </row>
    <row r="69" spans="1:8" ht="16.5" customHeight="1">
      <c r="C69" s="148"/>
      <c r="D69" s="182"/>
      <c r="E69" s="196"/>
      <c r="H69" s="185"/>
    </row>
    <row r="70" spans="1:8">
      <c r="A70" s="148"/>
      <c r="B70" s="187" t="s">
        <v>672</v>
      </c>
      <c r="C70" s="239"/>
      <c r="D70" s="240"/>
      <c r="E70" s="241"/>
      <c r="H70" s="185"/>
    </row>
    <row r="71" spans="1:8" ht="20">
      <c r="C71" s="253" t="str" cm="1">
        <f t="array" ref="C71">+_xlfn.IFS(E60=0,"= No amount due",E60&lt;0,"= Payable to the licensee",1,"= Overpayment payable to the CMSM/DSSAB")</f>
        <v>= No amount due</v>
      </c>
      <c r="D71" s="254"/>
      <c r="E71" s="255">
        <f>ROUND(IF(SUM(E15:E16,E20:E22,E24:E25,E27)=0,0,E60+E67),2)</f>
        <v>0</v>
      </c>
      <c r="F71" s="967"/>
    </row>
    <row r="72" spans="1:8" ht="18" customHeight="1">
      <c r="C72" s="148"/>
      <c r="D72" s="182"/>
      <c r="E72" s="196"/>
      <c r="H72" s="185"/>
    </row>
    <row r="73" spans="1:8">
      <c r="A73" s="148"/>
      <c r="B73" s="238" t="s">
        <v>673</v>
      </c>
      <c r="C73" s="257"/>
      <c r="D73" s="258"/>
      <c r="E73" s="259"/>
      <c r="G73" s="217"/>
      <c r="H73" s="185"/>
    </row>
    <row r="74" spans="1:8">
      <c r="A74" s="148"/>
      <c r="B74" s="187" t="s">
        <v>674</v>
      </c>
      <c r="C74" s="257"/>
      <c r="D74" s="258"/>
      <c r="E74" s="259"/>
      <c r="G74" s="217"/>
      <c r="H74" s="185"/>
    </row>
    <row r="75" spans="1:8">
      <c r="A75" s="148"/>
      <c r="B75" s="238"/>
      <c r="C75" s="242" t="s">
        <v>675</v>
      </c>
      <c r="D75" s="258"/>
      <c r="E75" s="260">
        <f>+ActualProgramCosts</f>
        <v>0</v>
      </c>
      <c r="G75" s="217"/>
      <c r="H75" s="185"/>
    </row>
    <row r="76" spans="1:8">
      <c r="A76" s="148"/>
      <c r="B76" s="238"/>
      <c r="C76" s="242" t="str">
        <f>+C20</f>
        <v>Benchmark Allocation</v>
      </c>
      <c r="D76" s="258"/>
      <c r="E76" s="260">
        <f>+BenchmarkAllocation</f>
        <v>0</v>
      </c>
      <c r="G76" s="217"/>
      <c r="H76" s="185"/>
    </row>
    <row r="77" spans="1:8">
      <c r="A77" s="127" t="s">
        <v>834</v>
      </c>
      <c r="B77" s="261"/>
      <c r="C77" s="262" t="s">
        <v>736</v>
      </c>
      <c r="D77" s="163" t="s">
        <v>676</v>
      </c>
      <c r="E77" s="263" t="e" cm="1">
        <f t="array" ref="E77">_xlfn.IFS(BenchmarkAllocation="","",ActualProgramCosts-BenchmarkAllocation&lt;0,0,1,ROUND((ActualProgramCosts-BenchmarkAllocation)/BenchmarkAllocation,4))</f>
        <v>#DIV/0!</v>
      </c>
      <c r="F77" s="264"/>
      <c r="G77" s="265"/>
      <c r="H77" s="266"/>
    </row>
    <row r="78" spans="1:8" ht="7.5" customHeight="1">
      <c r="C78" s="148"/>
      <c r="D78" s="182"/>
      <c r="E78" s="196"/>
      <c r="H78" s="185"/>
    </row>
    <row r="79" spans="1:8">
      <c r="B79" s="187" t="s">
        <v>677</v>
      </c>
      <c r="D79" s="267" t="s">
        <v>678</v>
      </c>
      <c r="E79" s="268"/>
      <c r="F79" s="528"/>
    </row>
    <row r="80" spans="1:8"/>
    <row r="81"/>
    <row r="82"/>
    <row r="83"/>
    <row r="94"/>
    <row r="95"/>
    <row r="96"/>
    <row r="97"/>
    <row r="98"/>
    <row r="99"/>
    <row r="106"/>
    <row r="107"/>
    <row r="108"/>
    <row r="109"/>
    <row r="110"/>
    <row r="111"/>
    <row r="112"/>
    <row r="113"/>
    <row r="114"/>
  </sheetData>
  <sheetProtection algorithmName="SHA-512" hashValue="2OeNxaL/DGIBxR/GGr7zXZSxc5u58mQkaRzByUc05rj6xt+cZFxlAjeO7zKl416WI9rha/FhQViT1PRGZ6I7Yw==" saltValue="jYX0jeCtlM+mzAcHcQhfnA==" spinCount="100000" sheet="1" objects="1" scenarios="1"/>
  <mergeCells count="2">
    <mergeCell ref="A1:I1"/>
    <mergeCell ref="F62:F66"/>
  </mergeCells>
  <conditionalFormatting sqref="E8:E11 G8:H11">
    <cfRule type="cellIs" dxfId="7" priority="2" operator="notEqual">
      <formula>""</formula>
    </cfRule>
  </conditionalFormatting>
  <conditionalFormatting sqref="E15:E16 E20:E22 E24:E25 E27">
    <cfRule type="notContainsBlanks" dxfId="6" priority="3">
      <formula>LEN(TRIM(E15))&gt;0</formula>
    </cfRule>
  </conditionalFormatting>
  <conditionalFormatting sqref="E79">
    <cfRule type="cellIs" dxfId="5" priority="1" operator="notEqual">
      <formula>""</formula>
    </cfRule>
  </conditionalFormatting>
  <dataValidations count="4">
    <dataValidation type="decimal" operator="greaterThanOrEqual" allowBlank="1" showInputMessage="1" showErrorMessage="1" error="Must be an amount greater than or equal to 0." sqref="E16 E27" xr:uid="{EF473279-811C-405D-B315-3EC8E7B8B9EC}">
      <formula1>0</formula1>
    </dataValidation>
    <dataValidation type="decimal" operator="greaterThan" allowBlank="1" showInputMessage="1" error="Must be an amount greater than 0." sqref="E24 E15 E20:E22" xr:uid="{E7FBE329-7FDB-48B4-A04F-49048DD761D5}">
      <formula1>0</formula1>
    </dataValidation>
    <dataValidation type="decimal" operator="lessThan" allowBlank="1" showInputMessage="1" error="Must be an amount less than 0." sqref="E25" xr:uid="{6E78BAE7-17DC-4638-AF7B-7BA3C6ED34EC}">
      <formula1>0</formula1>
    </dataValidation>
    <dataValidation type="date" operator="greaterThanOrEqual" allowBlank="1" showInputMessage="1" showErrorMessage="1" error="Must be a date not earlier than today's date" sqref="E79" xr:uid="{BB2E3617-53CA-45CB-8601-568B201058E0}">
      <formula1>TODAY()</formula1>
    </dataValidation>
  </dataValidation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9E5F1-1EA7-4440-B707-D9C465AD22AD}">
  <sheetPr>
    <tabColor rgb="FFFF0000"/>
  </sheetPr>
  <dimension ref="A1:BT11"/>
  <sheetViews>
    <sheetView topLeftCell="AW1" workbookViewId="0">
      <selection activeCell="BA29" sqref="BA29"/>
    </sheetView>
  </sheetViews>
  <sheetFormatPr defaultColWidth="9.1796875" defaultRowHeight="14.5"/>
  <cols>
    <col min="1" max="1" width="14.7265625" bestFit="1" customWidth="1"/>
    <col min="2" max="3" width="14.26953125" bestFit="1" customWidth="1"/>
    <col min="4" max="6" width="14.7265625" bestFit="1" customWidth="1"/>
    <col min="7" max="7" width="14.81640625" bestFit="1" customWidth="1"/>
    <col min="8" max="8" width="14.7265625" bestFit="1" customWidth="1"/>
    <col min="9" max="9" width="14.54296875" bestFit="1" customWidth="1"/>
    <col min="10" max="10" width="14.81640625" bestFit="1" customWidth="1"/>
    <col min="11" max="18" width="14.7265625" bestFit="1" customWidth="1"/>
    <col min="19" max="24" width="14.54296875" bestFit="1" customWidth="1"/>
    <col min="25" max="31" width="14.7265625" bestFit="1" customWidth="1"/>
    <col min="32" max="32" width="15.54296875" bestFit="1" customWidth="1"/>
    <col min="33" max="37" width="14.7265625" bestFit="1" customWidth="1"/>
    <col min="38" max="38" width="15.54296875" bestFit="1" customWidth="1"/>
    <col min="39" max="52" width="14.7265625" bestFit="1" customWidth="1"/>
    <col min="53" max="53" width="26.7265625" bestFit="1" customWidth="1"/>
    <col min="54" max="54" width="14.7265625" bestFit="1" customWidth="1"/>
    <col min="55" max="55" width="15.7265625" bestFit="1" customWidth="1"/>
    <col min="56" max="56" width="26.7265625" bestFit="1" customWidth="1"/>
    <col min="57" max="61" width="15.7265625" bestFit="1" customWidth="1"/>
    <col min="62" max="62" width="4.36328125" bestFit="1" customWidth="1"/>
    <col min="63" max="64" width="15.7265625" bestFit="1" customWidth="1"/>
    <col min="65" max="65" width="15.7265625" customWidth="1"/>
    <col min="66" max="71" width="15.7265625" bestFit="1" customWidth="1"/>
    <col min="72" max="72" width="16.26953125" bestFit="1" customWidth="1"/>
  </cols>
  <sheetData>
    <row r="1" spans="1:72">
      <c r="A1" s="853" t="s">
        <v>679</v>
      </c>
      <c r="B1" s="853" t="s">
        <v>680</v>
      </c>
      <c r="C1" s="853" t="s">
        <v>681</v>
      </c>
      <c r="D1" s="853" t="s">
        <v>682</v>
      </c>
      <c r="E1" s="853" t="s">
        <v>683</v>
      </c>
      <c r="F1" s="853" t="s">
        <v>684</v>
      </c>
      <c r="G1" s="853" t="s">
        <v>685</v>
      </c>
      <c r="H1" s="853" t="s">
        <v>686</v>
      </c>
      <c r="I1" s="853" t="s">
        <v>687</v>
      </c>
      <c r="J1" s="853" t="s">
        <v>688</v>
      </c>
      <c r="K1" s="853" t="s">
        <v>689</v>
      </c>
      <c r="L1" s="854" t="s">
        <v>690</v>
      </c>
      <c r="M1" s="855" t="s">
        <v>738</v>
      </c>
      <c r="N1" s="855" t="s">
        <v>739</v>
      </c>
      <c r="O1" s="855" t="s">
        <v>740</v>
      </c>
      <c r="P1" s="855" t="s">
        <v>741</v>
      </c>
      <c r="Q1" s="855" t="s">
        <v>742</v>
      </c>
      <c r="R1" s="855" t="s">
        <v>743</v>
      </c>
      <c r="S1" s="855" t="s">
        <v>744</v>
      </c>
      <c r="T1" s="855" t="s">
        <v>745</v>
      </c>
      <c r="U1" s="855" t="s">
        <v>746</v>
      </c>
      <c r="V1" s="855" t="s">
        <v>747</v>
      </c>
      <c r="W1" s="855" t="s">
        <v>748</v>
      </c>
      <c r="X1" s="855" t="s">
        <v>749</v>
      </c>
      <c r="Y1" s="855" t="s">
        <v>691</v>
      </c>
      <c r="Z1" s="855" t="s">
        <v>692</v>
      </c>
      <c r="AA1" s="855" t="s">
        <v>750</v>
      </c>
      <c r="AB1" s="855" t="s">
        <v>751</v>
      </c>
      <c r="AC1" s="855" t="s">
        <v>752</v>
      </c>
      <c r="AD1" s="855" t="s">
        <v>753</v>
      </c>
      <c r="AE1" s="855" t="s">
        <v>754</v>
      </c>
      <c r="AF1" s="855" t="s">
        <v>755</v>
      </c>
      <c r="AG1" s="855" t="s">
        <v>756</v>
      </c>
      <c r="AH1" s="855" t="s">
        <v>757</v>
      </c>
      <c r="AI1" s="855" t="s">
        <v>758</v>
      </c>
      <c r="AJ1" s="855" t="s">
        <v>759</v>
      </c>
      <c r="AK1" s="855" t="s">
        <v>760</v>
      </c>
      <c r="AL1" s="855" t="s">
        <v>761</v>
      </c>
      <c r="AM1" s="855" t="s">
        <v>762</v>
      </c>
      <c r="AN1" s="855" t="s">
        <v>763</v>
      </c>
      <c r="AO1" s="855" t="s">
        <v>764</v>
      </c>
      <c r="AP1" s="855" t="s">
        <v>765</v>
      </c>
      <c r="AQ1" s="855" t="s">
        <v>766</v>
      </c>
      <c r="AR1" s="855" t="s">
        <v>693</v>
      </c>
      <c r="AS1" s="855" t="s">
        <v>694</v>
      </c>
      <c r="AT1" s="855" t="s">
        <v>695</v>
      </c>
      <c r="AU1" s="855" t="s">
        <v>696</v>
      </c>
      <c r="AV1" s="855" t="s">
        <v>697</v>
      </c>
      <c r="AW1" s="855" t="s">
        <v>698</v>
      </c>
      <c r="AX1" s="855" t="s">
        <v>699</v>
      </c>
      <c r="AY1" s="855" t="s">
        <v>700</v>
      </c>
      <c r="AZ1" s="855" t="s">
        <v>701</v>
      </c>
      <c r="BA1" s="855" t="s">
        <v>702</v>
      </c>
      <c r="BB1" s="855" t="s">
        <v>703</v>
      </c>
      <c r="BC1" s="856" t="s">
        <v>704</v>
      </c>
      <c r="BD1" s="856" t="s">
        <v>705</v>
      </c>
      <c r="BE1" s="856" t="s">
        <v>706</v>
      </c>
      <c r="BF1" s="856" t="s">
        <v>707</v>
      </c>
      <c r="BG1" s="856" t="s">
        <v>708</v>
      </c>
      <c r="BH1" s="856" t="s">
        <v>709</v>
      </c>
      <c r="BI1" s="856" t="s">
        <v>710</v>
      </c>
      <c r="BJ1" s="856" t="s">
        <v>711</v>
      </c>
      <c r="BK1" s="856" t="s">
        <v>712</v>
      </c>
      <c r="BL1" s="856" t="s">
        <v>713</v>
      </c>
      <c r="BM1" s="856" t="s">
        <v>714</v>
      </c>
      <c r="BN1" s="856" t="s">
        <v>715</v>
      </c>
      <c r="BO1" s="856" t="s">
        <v>716</v>
      </c>
      <c r="BP1" s="856" t="s">
        <v>717</v>
      </c>
      <c r="BQ1" s="856" t="s">
        <v>718</v>
      </c>
      <c r="BR1" s="856" t="s">
        <v>767</v>
      </c>
      <c r="BS1" s="856" t="s">
        <v>719</v>
      </c>
      <c r="BT1" s="856" t="s">
        <v>864</v>
      </c>
    </row>
    <row r="2" spans="1:72" ht="15.5">
      <c r="A2" s="822">
        <f>'A11.SFR&amp; Attestation Site 1'!F13</f>
        <v>232</v>
      </c>
      <c r="B2" s="857">
        <f>'A11.SFR&amp; Attestation Site 1'!F8</f>
        <v>0</v>
      </c>
      <c r="C2" s="857">
        <f>'A11.SFR&amp; Attestation Site 1'!F9</f>
        <v>0</v>
      </c>
      <c r="D2" s="857">
        <f>'A11.SFR&amp; Attestation Site 1'!F10</f>
        <v>0</v>
      </c>
      <c r="E2" s="858">
        <f>'A11.SFR&amp; Attestation Site 1'!F11</f>
        <v>0</v>
      </c>
      <c r="F2" s="822">
        <f>'A11.SFR&amp; Attestation Site 1'!F14</f>
        <v>2025</v>
      </c>
      <c r="G2" s="857">
        <f>'A11.SFR&amp; Attestation Site 1'!C82</f>
        <v>0</v>
      </c>
      <c r="H2" s="857">
        <f>'A11.SFR&amp; Attestation Site 1'!F82</f>
        <v>0</v>
      </c>
      <c r="I2" s="857">
        <f>'A11.SFR&amp; Attestation Site 1'!I82</f>
        <v>0</v>
      </c>
      <c r="J2" s="857">
        <f>'A11.SFR&amp; Attestation Site 1'!C88</f>
        <v>0</v>
      </c>
      <c r="K2" s="858">
        <f>'A11.SFR&amp; Attestation Site 1'!F96</f>
        <v>0</v>
      </c>
      <c r="L2" s="859">
        <f>'A11.SFR&amp; Attestation Site 1'!F18</f>
        <v>0</v>
      </c>
      <c r="M2" s="859">
        <f>'A11.SFR&amp; Attestation Site 1'!F21</f>
        <v>2610</v>
      </c>
      <c r="N2" s="859">
        <f>'A11.SFR&amp; Attestation Site 1'!F22</f>
        <v>0</v>
      </c>
      <c r="O2" s="859">
        <f>'A11.SFR&amp; Attestation Site 1'!F23</f>
        <v>0</v>
      </c>
      <c r="P2" s="859">
        <f>'A11.SFR&amp; Attestation Site 1'!F24</f>
        <v>0</v>
      </c>
      <c r="Q2" s="859">
        <f>'A11.SFR&amp; Attestation Site 1'!F25</f>
        <v>0</v>
      </c>
      <c r="R2" s="859">
        <f>'A11.SFR&amp; Attestation Site 1'!F26</f>
        <v>3915</v>
      </c>
      <c r="S2" s="859">
        <f>'A11.SFR&amp; Attestation Site 1'!I21</f>
        <v>2610</v>
      </c>
      <c r="T2" s="859">
        <f>'A11.SFR&amp; Attestation Site 1'!I22</f>
        <v>0</v>
      </c>
      <c r="U2" s="859">
        <f>'A11.SFR&amp; Attestation Site 1'!I23</f>
        <v>0</v>
      </c>
      <c r="V2" s="859">
        <f>'A11.SFR&amp; Attestation Site 1'!I24</f>
        <v>0</v>
      </c>
      <c r="W2" s="859">
        <f>'A11.SFR&amp; Attestation Site 1'!I25</f>
        <v>0</v>
      </c>
      <c r="X2" s="859">
        <f>'A11.SFR&amp; Attestation Site 1'!I26</f>
        <v>3915</v>
      </c>
      <c r="Y2" s="860">
        <f>'A11.SFR&amp; Attestation Site 1'!F32</f>
        <v>0</v>
      </c>
      <c r="Z2" s="860">
        <f>'A11.SFR&amp; Attestation Site 1'!F33</f>
        <v>0</v>
      </c>
      <c r="AA2" s="860">
        <f>'A11.SFR&amp; Attestation Site 1'!F40</f>
        <v>0</v>
      </c>
      <c r="AB2" s="860">
        <f>'A11.SFR&amp; Attestation Site 1'!F41</f>
        <v>0</v>
      </c>
      <c r="AC2" s="860">
        <f>'A11.SFR&amp; Attestation Site 1'!F42</f>
        <v>0</v>
      </c>
      <c r="AD2" s="860">
        <f>'A11.SFR&amp; Attestation Site 1'!F43</f>
        <v>0</v>
      </c>
      <c r="AE2" s="860">
        <f>'A11.SFR&amp; Attestation Site 1'!F44</f>
        <v>0</v>
      </c>
      <c r="AF2" s="281">
        <f>'A11.SFR&amp; Attestation Site 1'!F45</f>
        <v>0</v>
      </c>
      <c r="AG2" s="860">
        <f>'A11.SFR&amp; Attestation Site 1'!F48</f>
        <v>0</v>
      </c>
      <c r="AH2" s="860">
        <f>'A11.SFR&amp; Attestation Site 1'!F49</f>
        <v>0</v>
      </c>
      <c r="AI2" s="860">
        <f>'A11.SFR&amp; Attestation Site 1'!F50</f>
        <v>0</v>
      </c>
      <c r="AJ2" s="860">
        <f>'A11.SFR&amp; Attestation Site 1'!F51</f>
        <v>0</v>
      </c>
      <c r="AK2" s="860">
        <f>'A11.SFR&amp; Attestation Site 1'!F52</f>
        <v>0</v>
      </c>
      <c r="AL2" s="281">
        <f>'A11.SFR&amp; Attestation Site 1'!F53</f>
        <v>0</v>
      </c>
      <c r="AM2" s="987">
        <f>'A11.SFR&amp; Attestation Site 1'!F56</f>
        <v>0</v>
      </c>
      <c r="AN2" s="860">
        <f>'A11.SFR&amp; Attestation Site 1'!F57</f>
        <v>0</v>
      </c>
      <c r="AO2" s="860">
        <f>'A11.SFR&amp; Attestation Site 1'!F58</f>
        <v>0</v>
      </c>
      <c r="AP2" s="860">
        <f>'A11.SFR&amp; Attestation Site 1'!F59</f>
        <v>0</v>
      </c>
      <c r="AQ2" s="860">
        <f>'A11.SFR&amp; Attestation Site 1'!F60</f>
        <v>0</v>
      </c>
      <c r="AR2" s="860">
        <f>'A11.SFR&amp; Attestation Site 1'!F63</f>
        <v>0</v>
      </c>
      <c r="AS2" s="860">
        <f>'A11.SFR&amp; Attestation Site 1'!F64</f>
        <v>0</v>
      </c>
      <c r="AT2" s="860">
        <f>'A11.SFR&amp; Attestation Site 1'!F65</f>
        <v>0</v>
      </c>
      <c r="AU2" s="860">
        <f>'A11.SFR&amp; Attestation Site 1'!F66</f>
        <v>0</v>
      </c>
      <c r="AV2" s="860">
        <f>'A11.SFR&amp; Attestation Site 1'!F67</f>
        <v>0</v>
      </c>
      <c r="AW2" s="860">
        <f>'A11.SFR&amp; Attestation Site 1'!F68</f>
        <v>0</v>
      </c>
      <c r="AX2" s="860">
        <f>'A11.SFR&amp; Attestation Site 1'!F69</f>
        <v>0</v>
      </c>
      <c r="AY2" s="860">
        <f>'A11.SFR&amp; Attestation Site 1'!F70</f>
        <v>0</v>
      </c>
      <c r="AZ2" s="860">
        <f>'A11.SFR&amp; Attestation Site 1'!F71</f>
        <v>0</v>
      </c>
      <c r="BA2" s="860">
        <f>'A3. Peel Region Grants'!D$81+'A3. Peel Region Grants'!D$122</f>
        <v>0</v>
      </c>
      <c r="BB2" s="860">
        <f>'A11.SFR&amp; Attestation Site 1'!F79</f>
        <v>0</v>
      </c>
      <c r="BC2" s="860">
        <f>'A12. YND Reconciliation Site 1'!E15</f>
        <v>0</v>
      </c>
      <c r="BD2" s="860">
        <f>'A12. YND Reconciliation Site 1'!E16</f>
        <v>0</v>
      </c>
      <c r="BE2" s="860">
        <f>'A12. YND Reconciliation Site 1'!E20</f>
        <v>0</v>
      </c>
      <c r="BF2" s="860">
        <f>'A12. YND Reconciliation Site 1'!E21</f>
        <v>0</v>
      </c>
      <c r="BG2" s="860">
        <f>'A12. YND Reconciliation Site 1'!E22</f>
        <v>0</v>
      </c>
      <c r="BH2" s="860">
        <f>'A12. YND Reconciliation Site 1'!E24</f>
        <v>0</v>
      </c>
      <c r="BI2" s="860">
        <f>'A12. YND Reconciliation Site 1'!E25</f>
        <v>0</v>
      </c>
      <c r="BJ2" s="860">
        <f>BD2</f>
        <v>0</v>
      </c>
      <c r="BK2" s="860">
        <f>'A12. YND Reconciliation Site 1'!E33</f>
        <v>0</v>
      </c>
      <c r="BL2" s="905">
        <f>'A12. YND Reconciliation Site 1'!E40</f>
        <v>6000</v>
      </c>
      <c r="BM2" s="905">
        <f>'A12. YND Reconciliation Site 1'!E47</f>
        <v>0</v>
      </c>
      <c r="BN2" s="905">
        <f>'A12. YND Reconciliation Site 1'!E54</f>
        <v>6000</v>
      </c>
      <c r="BO2" s="905">
        <f>'A12. YND Reconciliation Site 1'!E65</f>
        <v>0</v>
      </c>
      <c r="BP2" s="905">
        <f>'A12. YND Reconciliation Site 1'!E60</f>
        <v>-6000</v>
      </c>
      <c r="BQ2" s="905">
        <f>'A12. YND Reconciliation Site 1'!E67</f>
        <v>0</v>
      </c>
      <c r="BR2" s="906" t="e">
        <f>'A12. YND Reconciliation Site 1'!E77</f>
        <v>#DIV/0!</v>
      </c>
      <c r="BS2" s="907">
        <f>'A12. YND Reconciliation Site 1'!E79</f>
        <v>0</v>
      </c>
      <c r="BT2" s="886">
        <f>'A9. SummaryOfReconciliations '!F22</f>
        <v>0</v>
      </c>
    </row>
    <row r="3" spans="1:72" ht="15.5">
      <c r="A3" s="822">
        <f>'A11.SFR&amp; Attestation Site 2'!F13</f>
        <v>232</v>
      </c>
      <c r="B3" s="857">
        <f>'A11.SFR&amp; Attestation Site 2'!F8</f>
        <v>0</v>
      </c>
      <c r="C3" s="857">
        <f>'A11.SFR&amp; Attestation Site 2'!F9</f>
        <v>0</v>
      </c>
      <c r="D3" s="857">
        <f>'A11.SFR&amp; Attestation Site 2'!F10</f>
        <v>0</v>
      </c>
      <c r="E3" s="858">
        <f>'A11.SFR&amp; Attestation Site 2'!F11</f>
        <v>0</v>
      </c>
      <c r="F3" s="822">
        <f>'A11.SFR&amp; Attestation Site 2'!F14</f>
        <v>2025</v>
      </c>
      <c r="G3" s="857">
        <f>'A11.SFR&amp; Attestation Site 2'!C82</f>
        <v>0</v>
      </c>
      <c r="H3" s="857">
        <f>'A11.SFR&amp; Attestation Site 2'!F82</f>
        <v>0</v>
      </c>
      <c r="I3" s="857">
        <f>'A11.SFR&amp; Attestation Site 2'!I82</f>
        <v>0</v>
      </c>
      <c r="J3" s="857">
        <f>'A11.SFR&amp; Attestation Site 2'!C88</f>
        <v>0</v>
      </c>
      <c r="K3" s="858">
        <f>'A11.SFR&amp; Attestation Site 2'!F96</f>
        <v>0</v>
      </c>
      <c r="L3" s="859">
        <f>'A11.SFR&amp; Attestation Site 2'!F18</f>
        <v>0</v>
      </c>
      <c r="M3" s="859">
        <f>'A11.SFR&amp; Attestation Site 2'!F21</f>
        <v>0</v>
      </c>
      <c r="N3" s="859">
        <f>'A11.SFR&amp; Attestation Site 2'!F22</f>
        <v>0</v>
      </c>
      <c r="O3" s="859">
        <f>'A11.SFR&amp; Attestation Site 2'!F23</f>
        <v>0</v>
      </c>
      <c r="P3" s="859">
        <f>'A11.SFR&amp; Attestation Site 2'!F24</f>
        <v>0</v>
      </c>
      <c r="Q3" s="859">
        <f>'A11.SFR&amp; Attestation Site 2'!F25</f>
        <v>0</v>
      </c>
      <c r="R3" s="859">
        <f>'A11.SFR&amp; Attestation Site 2'!F26</f>
        <v>0</v>
      </c>
      <c r="S3" s="859">
        <f>'A11.SFR&amp; Attestation Site 2'!I21</f>
        <v>0</v>
      </c>
      <c r="T3" s="859">
        <f>'A11.SFR&amp; Attestation Site 2'!I22</f>
        <v>0</v>
      </c>
      <c r="U3" s="859">
        <f>'A11.SFR&amp; Attestation Site 2'!I23</f>
        <v>0</v>
      </c>
      <c r="V3" s="859">
        <f>'A11.SFR&amp; Attestation Site 2'!I24</f>
        <v>0</v>
      </c>
      <c r="W3" s="859">
        <f>'A11.SFR&amp; Attestation Site 2'!I25</f>
        <v>0</v>
      </c>
      <c r="X3" s="859">
        <f>'A11.SFR&amp; Attestation Site 2'!I26</f>
        <v>0</v>
      </c>
      <c r="Y3" s="860">
        <f>'A11.SFR&amp; Attestation Site 2'!F32</f>
        <v>0</v>
      </c>
      <c r="Z3" s="860">
        <f>'A11.SFR&amp; Attestation Site 2'!F33</f>
        <v>0</v>
      </c>
      <c r="AA3" s="860">
        <f>'A11.SFR&amp; Attestation Site 2'!F40</f>
        <v>0</v>
      </c>
      <c r="AB3" s="860">
        <f>'A11.SFR&amp; Attestation Site 2'!F41</f>
        <v>0</v>
      </c>
      <c r="AC3" s="860">
        <f>'A11.SFR&amp; Attestation Site 2'!F42</f>
        <v>0</v>
      </c>
      <c r="AD3" s="860">
        <f>'A11.SFR&amp; Attestation Site 2'!F43</f>
        <v>0</v>
      </c>
      <c r="AE3" s="860">
        <f>'A11.SFR&amp; Attestation Site 2'!F44</f>
        <v>0</v>
      </c>
      <c r="AF3" s="281">
        <f>'A11.SFR&amp; Attestation Site 2'!F45</f>
        <v>0</v>
      </c>
      <c r="AG3" s="860">
        <f>'A11.SFR&amp; Attestation Site 2'!F48</f>
        <v>0</v>
      </c>
      <c r="AH3" s="860">
        <f>'A11.SFR&amp; Attestation Site 2'!F49</f>
        <v>0</v>
      </c>
      <c r="AI3" s="860">
        <f>'A11.SFR&amp; Attestation Site 2'!F50</f>
        <v>0</v>
      </c>
      <c r="AJ3" s="860">
        <f>'A11.SFR&amp; Attestation Site 2'!F51</f>
        <v>0</v>
      </c>
      <c r="AK3" s="860">
        <f>'A11.SFR&amp; Attestation Site 2'!F52</f>
        <v>0</v>
      </c>
      <c r="AL3" s="281">
        <f>'A11.SFR&amp; Attestation Site 2'!F53</f>
        <v>0</v>
      </c>
      <c r="AM3" s="987">
        <f>'A11.SFR&amp; Attestation Site 2'!F56</f>
        <v>0</v>
      </c>
      <c r="AN3" s="860">
        <f>'A11.SFR&amp; Attestation Site 2'!F57</f>
        <v>0</v>
      </c>
      <c r="AO3" s="860">
        <f>'A11.SFR&amp; Attestation Site 2'!F58</f>
        <v>0</v>
      </c>
      <c r="AP3" s="860">
        <f>'A11.SFR&amp; Attestation Site 2'!F59</f>
        <v>0</v>
      </c>
      <c r="AQ3" s="860">
        <f>'A11.SFR&amp; Attestation Site 2'!F60</f>
        <v>0</v>
      </c>
      <c r="AR3" s="860">
        <f>'A11.SFR&amp; Attestation Site 2'!F63</f>
        <v>0</v>
      </c>
      <c r="AS3" s="860">
        <f>'A11.SFR&amp; Attestation Site 2'!F64</f>
        <v>0</v>
      </c>
      <c r="AT3" s="860">
        <f>'A11.SFR&amp; Attestation Site 2'!F65</f>
        <v>0</v>
      </c>
      <c r="AU3" s="860">
        <f>'A11.SFR&amp; Attestation Site 2'!F66</f>
        <v>0</v>
      </c>
      <c r="AV3" s="860">
        <f>'A11.SFR&amp; Attestation Site 2'!F67</f>
        <v>0</v>
      </c>
      <c r="AW3" s="860">
        <f>'A11.SFR&amp; Attestation Site 2'!F68</f>
        <v>0</v>
      </c>
      <c r="AX3" s="860">
        <f>'A11.SFR&amp; Attestation Site 2'!F69</f>
        <v>0</v>
      </c>
      <c r="AY3" s="860">
        <f>'A11.SFR&amp; Attestation Site 2'!F70</f>
        <v>0</v>
      </c>
      <c r="AZ3" s="860">
        <f>'A11.SFR&amp; Attestation Site 2'!F71</f>
        <v>0</v>
      </c>
      <c r="BA3" s="860">
        <f>'A3. Peel Region Grants'!E$81+'A3. Peel Region Grants'!E$122</f>
        <v>0</v>
      </c>
      <c r="BB3" s="860">
        <f>'A11.SFR&amp; Attestation Site 2'!F79</f>
        <v>0</v>
      </c>
      <c r="BC3" s="860">
        <f>'A12. YND Reconciliation Site 2'!E15</f>
        <v>0</v>
      </c>
      <c r="BD3" s="860">
        <f>'A12. YND Reconciliation Site 2'!E16</f>
        <v>0</v>
      </c>
      <c r="BE3" s="860">
        <f>'A12. YND Reconciliation Site 2'!E20</f>
        <v>0</v>
      </c>
      <c r="BF3" s="860">
        <f>'A12. YND Reconciliation Site 2'!E21</f>
        <v>0</v>
      </c>
      <c r="BG3" s="860">
        <f>'A12. YND Reconciliation Site 2'!E22</f>
        <v>0</v>
      </c>
      <c r="BH3" s="860">
        <f>'A12. YND Reconciliation Site 2'!E24</f>
        <v>0</v>
      </c>
      <c r="BI3" s="860">
        <f>'A12. YND Reconciliation Site 2'!E25</f>
        <v>0</v>
      </c>
      <c r="BJ3" s="860">
        <f t="shared" ref="BJ3:BJ6" si="0">BD3</f>
        <v>0</v>
      </c>
      <c r="BK3" s="860">
        <f>'A12. YND Reconciliation Site 2'!E33</f>
        <v>0</v>
      </c>
      <c r="BL3" s="905">
        <f>'A12. YND Reconciliation Site 2'!E40</f>
        <v>0</v>
      </c>
      <c r="BM3" s="905">
        <f>'A12. YND Reconciliation Site 2'!E47</f>
        <v>0</v>
      </c>
      <c r="BN3" s="905">
        <f>'A12. YND Reconciliation Site 2'!E54</f>
        <v>0</v>
      </c>
      <c r="BO3" s="905">
        <f>'A12. YND Reconciliation Site 2'!E65</f>
        <v>0</v>
      </c>
      <c r="BP3" s="905">
        <f>'A12. YND Reconciliation Site 2'!E60</f>
        <v>0</v>
      </c>
      <c r="BQ3" s="905">
        <f>'A12. YND Reconciliation Site 2'!E67</f>
        <v>0</v>
      </c>
      <c r="BR3" s="906" t="e">
        <f>'A12. YND Reconciliation Site 2'!E77</f>
        <v>#DIV/0!</v>
      </c>
      <c r="BS3" s="907">
        <f>'A12. YND Reconciliation Site 2'!E79</f>
        <v>0</v>
      </c>
      <c r="BT3" s="886"/>
    </row>
    <row r="4" spans="1:72" ht="15.5">
      <c r="A4" s="822">
        <f>'A11.SFR&amp; Attestation Site 3'!F13</f>
        <v>232</v>
      </c>
      <c r="B4" s="857">
        <f>'A11.SFR&amp; Attestation Site 3'!F8</f>
        <v>0</v>
      </c>
      <c r="C4" s="857">
        <f>'A11.SFR&amp; Attestation Site 3'!F9</f>
        <v>0</v>
      </c>
      <c r="D4" s="857">
        <f>'A11.SFR&amp; Attestation Site 3'!F10</f>
        <v>0</v>
      </c>
      <c r="E4" s="858">
        <f>'A11.SFR&amp; Attestation Site 3'!F11</f>
        <v>0</v>
      </c>
      <c r="F4" s="822">
        <f>'A11.SFR&amp; Attestation Site 3'!F14</f>
        <v>2025</v>
      </c>
      <c r="G4" s="857">
        <f>'A11.SFR&amp; Attestation Site 3'!C82</f>
        <v>0</v>
      </c>
      <c r="H4" s="857">
        <f>'A11.SFR&amp; Attestation Site 3'!F82</f>
        <v>0</v>
      </c>
      <c r="I4" s="857">
        <f>'A11.SFR&amp; Attestation Site 3'!I82</f>
        <v>0</v>
      </c>
      <c r="J4" s="857">
        <f>'A11.SFR&amp; Attestation Site 3'!C88</f>
        <v>0</v>
      </c>
      <c r="K4" s="858">
        <f>'A11.SFR&amp; Attestation Site 3'!F96</f>
        <v>0</v>
      </c>
      <c r="L4" s="859">
        <f>'A11.SFR&amp; Attestation Site 3'!F18</f>
        <v>0</v>
      </c>
      <c r="M4" s="859">
        <f>'A11.SFR&amp; Attestation Site 3'!F21</f>
        <v>0</v>
      </c>
      <c r="N4" s="859">
        <f>'A11.SFR&amp; Attestation Site 3'!F22</f>
        <v>0</v>
      </c>
      <c r="O4" s="859">
        <f>'A11.SFR&amp; Attestation Site 3'!F23</f>
        <v>0</v>
      </c>
      <c r="P4" s="859">
        <f>'A11.SFR&amp; Attestation Site 3'!F24</f>
        <v>0</v>
      </c>
      <c r="Q4" s="859">
        <f>'A11.SFR&amp; Attestation Site 3'!F25</f>
        <v>0</v>
      </c>
      <c r="R4" s="859">
        <f>'A11.SFR&amp; Attestation Site 3'!F26</f>
        <v>0</v>
      </c>
      <c r="S4" s="859">
        <f>'A11.SFR&amp; Attestation Site 3'!I21</f>
        <v>0</v>
      </c>
      <c r="T4" s="859">
        <f>'A11.SFR&amp; Attestation Site 3'!I22</f>
        <v>0</v>
      </c>
      <c r="U4" s="859">
        <f>'A11.SFR&amp; Attestation Site 3'!I23</f>
        <v>0</v>
      </c>
      <c r="V4" s="859">
        <f>'A11.SFR&amp; Attestation Site 3'!I24</f>
        <v>0</v>
      </c>
      <c r="W4" s="859">
        <f>'A11.SFR&amp; Attestation Site 3'!I25</f>
        <v>0</v>
      </c>
      <c r="X4" s="859">
        <f>'A11.SFR&amp; Attestation Site 3'!I26</f>
        <v>0</v>
      </c>
      <c r="Y4" s="860">
        <f>'A11.SFR&amp; Attestation Site 3'!F32</f>
        <v>0</v>
      </c>
      <c r="Z4" s="860">
        <f>'A11.SFR&amp; Attestation Site 3'!F33</f>
        <v>0</v>
      </c>
      <c r="AA4" s="860">
        <f>'A11.SFR&amp; Attestation Site 3'!F40</f>
        <v>0</v>
      </c>
      <c r="AB4" s="860">
        <f>'A11.SFR&amp; Attestation Site 3'!F41</f>
        <v>0</v>
      </c>
      <c r="AC4" s="860">
        <f>'A11.SFR&amp; Attestation Site 3'!F42</f>
        <v>0</v>
      </c>
      <c r="AD4" s="860">
        <f>'A11.SFR&amp; Attestation Site 3'!F43</f>
        <v>0</v>
      </c>
      <c r="AE4" s="860">
        <f>'A11.SFR&amp; Attestation Site 3'!F44</f>
        <v>0</v>
      </c>
      <c r="AF4" s="281">
        <f>'A11.SFR&amp; Attestation Site 3'!F45</f>
        <v>0</v>
      </c>
      <c r="AG4" s="860">
        <f>'A11.SFR&amp; Attestation Site 3'!F48</f>
        <v>0</v>
      </c>
      <c r="AH4" s="860">
        <f>'A11.SFR&amp; Attestation Site 3'!F49</f>
        <v>0</v>
      </c>
      <c r="AI4" s="860">
        <f>'A11.SFR&amp; Attestation Site 3'!F50</f>
        <v>0</v>
      </c>
      <c r="AJ4" s="860">
        <f>'A11.SFR&amp; Attestation Site 3'!F51</f>
        <v>0</v>
      </c>
      <c r="AK4" s="860">
        <f>'A11.SFR&amp; Attestation Site 3'!F52</f>
        <v>0</v>
      </c>
      <c r="AL4" s="281">
        <f>'A11.SFR&amp; Attestation Site 3'!F53</f>
        <v>0</v>
      </c>
      <c r="AM4" s="987">
        <f>'A11.SFR&amp; Attestation Site 3'!F56</f>
        <v>0</v>
      </c>
      <c r="AN4" s="860">
        <f>'A11.SFR&amp; Attestation Site 3'!F57</f>
        <v>0</v>
      </c>
      <c r="AO4" s="860">
        <f>'A11.SFR&amp; Attestation Site 3'!F58</f>
        <v>0</v>
      </c>
      <c r="AP4" s="860">
        <f>'A11.SFR&amp; Attestation Site 3'!F59</f>
        <v>0</v>
      </c>
      <c r="AQ4" s="860">
        <f>'A11.SFR&amp; Attestation Site 3'!F60</f>
        <v>0</v>
      </c>
      <c r="AR4" s="860">
        <f>'A11.SFR&amp; Attestation Site 3'!F63</f>
        <v>0</v>
      </c>
      <c r="AS4" s="860">
        <f>'A11.SFR&amp; Attestation Site 3'!F64</f>
        <v>0</v>
      </c>
      <c r="AT4" s="860">
        <f>'A11.SFR&amp; Attestation Site 3'!F65</f>
        <v>0</v>
      </c>
      <c r="AU4" s="860">
        <f>'A11.SFR&amp; Attestation Site 3'!F66</f>
        <v>0</v>
      </c>
      <c r="AV4" s="860">
        <f>'A11.SFR&amp; Attestation Site 3'!F67</f>
        <v>0</v>
      </c>
      <c r="AW4" s="860">
        <f>'A11.SFR&amp; Attestation Site 3'!F68</f>
        <v>0</v>
      </c>
      <c r="AX4" s="860">
        <f>'A11.SFR&amp; Attestation Site 3'!F69</f>
        <v>0</v>
      </c>
      <c r="AY4" s="860">
        <f>'A11.SFR&amp; Attestation Site 3'!F70</f>
        <v>0</v>
      </c>
      <c r="AZ4" s="860">
        <f>'A11.SFR&amp; Attestation Site 3'!F71</f>
        <v>0</v>
      </c>
      <c r="BA4" s="860">
        <f>'A3. Peel Region Grants'!F$81+'A3. Peel Region Grants'!F$122</f>
        <v>0</v>
      </c>
      <c r="BB4" s="860">
        <f>'A11.SFR&amp; Attestation Site 3'!F79</f>
        <v>0</v>
      </c>
      <c r="BC4" s="860">
        <f>'A12. YND Reconciliation Site 3'!E15</f>
        <v>0</v>
      </c>
      <c r="BD4" s="860">
        <f>'A12. YND Reconciliation Site 3'!E16</f>
        <v>0</v>
      </c>
      <c r="BE4" s="860">
        <f>'A12. YND Reconciliation Site 3'!E20</f>
        <v>0</v>
      </c>
      <c r="BF4" s="860">
        <f>'A12. YND Reconciliation Site 3'!E21</f>
        <v>0</v>
      </c>
      <c r="BG4" s="860">
        <f>'A12. YND Reconciliation Site 3'!E22</f>
        <v>0</v>
      </c>
      <c r="BH4" s="860">
        <f>'A12. YND Reconciliation Site 3'!E24</f>
        <v>0</v>
      </c>
      <c r="BI4" s="860">
        <f>'A12. YND Reconciliation Site 3'!E25</f>
        <v>0</v>
      </c>
      <c r="BJ4" s="860">
        <f t="shared" si="0"/>
        <v>0</v>
      </c>
      <c r="BK4" s="860">
        <f>'A12. YND Reconciliation Site 3'!E33</f>
        <v>0</v>
      </c>
      <c r="BL4" s="905">
        <f>'A12. YND Reconciliation Site 3'!E40</f>
        <v>0</v>
      </c>
      <c r="BM4" s="905">
        <f>'A12. YND Reconciliation Site 3'!E47</f>
        <v>0</v>
      </c>
      <c r="BN4" s="905">
        <f>'A12. YND Reconciliation Site 3'!E54</f>
        <v>0</v>
      </c>
      <c r="BO4" s="905">
        <f>'A12. YND Reconciliation Site 3'!E65</f>
        <v>0</v>
      </c>
      <c r="BP4" s="905">
        <f>'A12. YND Reconciliation Site 3'!E60</f>
        <v>0</v>
      </c>
      <c r="BQ4" s="905">
        <f>'A12. YND Reconciliation Site 3'!E67</f>
        <v>0</v>
      </c>
      <c r="BR4" s="906" t="e">
        <f>'A12. YND Reconciliation Site 3'!E77</f>
        <v>#DIV/0!</v>
      </c>
      <c r="BS4" s="907">
        <f>'A12. YND Reconciliation Site 3'!E79</f>
        <v>0</v>
      </c>
      <c r="BT4" s="886"/>
    </row>
    <row r="5" spans="1:72" ht="15.5">
      <c r="A5" s="822">
        <f>'A11.SFR&amp; Attestation Site 4'!F13</f>
        <v>232</v>
      </c>
      <c r="B5" s="857">
        <f>'A11.SFR&amp; Attestation Site 4'!F8</f>
        <v>0</v>
      </c>
      <c r="C5" s="857">
        <f>'A11.SFR&amp; Attestation Site 4'!F9</f>
        <v>0</v>
      </c>
      <c r="D5" s="857">
        <f>'A11.SFR&amp; Attestation Site 4'!F10</f>
        <v>0</v>
      </c>
      <c r="E5" s="858">
        <f>'A11.SFR&amp; Attestation Site 4'!F11</f>
        <v>0</v>
      </c>
      <c r="F5" s="822">
        <f>'A11.SFR&amp; Attestation Site 4'!F14</f>
        <v>2025</v>
      </c>
      <c r="G5" s="857">
        <f>'A11.SFR&amp; Attestation Site 4'!C82</f>
        <v>0</v>
      </c>
      <c r="H5" s="857">
        <f>'A11.SFR&amp; Attestation Site 4'!F82</f>
        <v>0</v>
      </c>
      <c r="I5" s="857">
        <f>'A11.SFR&amp; Attestation Site 4'!I82</f>
        <v>0</v>
      </c>
      <c r="J5" s="857">
        <f>'A11.SFR&amp; Attestation Site 4'!C88</f>
        <v>0</v>
      </c>
      <c r="K5" s="858">
        <f>'A11.SFR&amp; Attestation Site 4'!F96</f>
        <v>0</v>
      </c>
      <c r="L5" s="859">
        <f>'A11.SFR&amp; Attestation Site 4'!F18</f>
        <v>0</v>
      </c>
      <c r="M5" s="859">
        <f>'A11.SFR&amp; Attestation Site 4'!F21</f>
        <v>0</v>
      </c>
      <c r="N5" s="859">
        <f>'A11.SFR&amp; Attestation Site 4'!F22</f>
        <v>0</v>
      </c>
      <c r="O5" s="859">
        <f>'A11.SFR&amp; Attestation Site 4'!F23</f>
        <v>0</v>
      </c>
      <c r="P5" s="859">
        <f>'A11.SFR&amp; Attestation Site 4'!F24</f>
        <v>0</v>
      </c>
      <c r="Q5" s="859">
        <f>'A11.SFR&amp; Attestation Site 4'!F25</f>
        <v>0</v>
      </c>
      <c r="R5" s="859">
        <f>'A11.SFR&amp; Attestation Site 4'!F26</f>
        <v>0</v>
      </c>
      <c r="S5" s="859">
        <f>'A11.SFR&amp; Attestation Site 4'!I21</f>
        <v>0</v>
      </c>
      <c r="T5" s="859">
        <f>'A11.SFR&amp; Attestation Site 4'!I22</f>
        <v>0</v>
      </c>
      <c r="U5" s="859">
        <f>'A11.SFR&amp; Attestation Site 4'!I23</f>
        <v>0</v>
      </c>
      <c r="V5" s="859">
        <f>'A11.SFR&amp; Attestation Site 4'!I24</f>
        <v>0</v>
      </c>
      <c r="W5" s="859">
        <f>'A11.SFR&amp; Attestation Site 4'!I25</f>
        <v>0</v>
      </c>
      <c r="X5" s="859">
        <f>'A11.SFR&amp; Attestation Site 4'!I26</f>
        <v>0</v>
      </c>
      <c r="Y5" s="860">
        <f>'A11.SFR&amp; Attestation Site 4'!F32</f>
        <v>0</v>
      </c>
      <c r="Z5" s="860">
        <f>'A11.SFR&amp; Attestation Site 4'!F33</f>
        <v>0</v>
      </c>
      <c r="AA5" s="860">
        <f>'A11.SFR&amp; Attestation Site 4'!F40</f>
        <v>0</v>
      </c>
      <c r="AB5" s="860">
        <f>'A11.SFR&amp; Attestation Site 4'!F41</f>
        <v>0</v>
      </c>
      <c r="AC5" s="860">
        <f>'A11.SFR&amp; Attestation Site 4'!F42</f>
        <v>0</v>
      </c>
      <c r="AD5" s="860">
        <f>'A11.SFR&amp; Attestation Site 4'!F43</f>
        <v>0</v>
      </c>
      <c r="AE5" s="860">
        <f>'A11.SFR&amp; Attestation Site 4'!F44</f>
        <v>0</v>
      </c>
      <c r="AF5" s="281">
        <f>'A11.SFR&amp; Attestation Site 4'!F45</f>
        <v>0</v>
      </c>
      <c r="AG5" s="860">
        <f>'A11.SFR&amp; Attestation Site 4'!F48</f>
        <v>0</v>
      </c>
      <c r="AH5" s="860">
        <f>'A11.SFR&amp; Attestation Site 4'!F49</f>
        <v>0</v>
      </c>
      <c r="AI5" s="860">
        <f>'A11.SFR&amp; Attestation Site 4'!F50</f>
        <v>0</v>
      </c>
      <c r="AJ5" s="860">
        <f>'A11.SFR&amp; Attestation Site 4'!F51</f>
        <v>0</v>
      </c>
      <c r="AK5" s="860">
        <f>'A11.SFR&amp; Attestation Site 4'!F52</f>
        <v>0</v>
      </c>
      <c r="AL5" s="281">
        <f>'A11.SFR&amp; Attestation Site 4'!F53</f>
        <v>0</v>
      </c>
      <c r="AM5" s="987">
        <f>'A11.SFR&amp; Attestation Site 4'!F56</f>
        <v>0</v>
      </c>
      <c r="AN5" s="860">
        <f>'A11.SFR&amp; Attestation Site 4'!F57</f>
        <v>0</v>
      </c>
      <c r="AO5" s="860">
        <f>'A11.SFR&amp; Attestation Site 4'!F58</f>
        <v>0</v>
      </c>
      <c r="AP5" s="860">
        <f>'A11.SFR&amp; Attestation Site 4'!F59</f>
        <v>0</v>
      </c>
      <c r="AQ5" s="860">
        <f>'A11.SFR&amp; Attestation Site 4'!F60</f>
        <v>0</v>
      </c>
      <c r="AR5" s="860">
        <f>'A11.SFR&amp; Attestation Site 4'!F63</f>
        <v>0</v>
      </c>
      <c r="AS5" s="860">
        <f>'A11.SFR&amp; Attestation Site 4'!F64</f>
        <v>0</v>
      </c>
      <c r="AT5" s="860">
        <f>'A11.SFR&amp; Attestation Site 4'!F65</f>
        <v>0</v>
      </c>
      <c r="AU5" s="860">
        <f>'A11.SFR&amp; Attestation Site 4'!F66</f>
        <v>0</v>
      </c>
      <c r="AV5" s="860">
        <f>'A11.SFR&amp; Attestation Site 4'!F67</f>
        <v>0</v>
      </c>
      <c r="AW5" s="860">
        <f>'A11.SFR&amp; Attestation Site 4'!F68</f>
        <v>0</v>
      </c>
      <c r="AX5" s="860">
        <f>'A11.SFR&amp; Attestation Site 4'!F69</f>
        <v>0</v>
      </c>
      <c r="AY5" s="860">
        <f>'A11.SFR&amp; Attestation Site 4'!F70</f>
        <v>0</v>
      </c>
      <c r="AZ5" s="860">
        <f>'A11.SFR&amp; Attestation Site 4'!F71</f>
        <v>0</v>
      </c>
      <c r="BA5" s="860">
        <f>'A3. Peel Region Grants'!G$81+'A3. Peel Region Grants'!G$122</f>
        <v>0</v>
      </c>
      <c r="BB5" s="860">
        <f>'A11.SFR&amp; Attestation Site 4'!F79</f>
        <v>0</v>
      </c>
      <c r="BC5" s="860">
        <f>'A12. YND Reconciliation Site 4'!E15</f>
        <v>0</v>
      </c>
      <c r="BD5" s="860">
        <f>'A12. YND Reconciliation Site 4'!E16</f>
        <v>0</v>
      </c>
      <c r="BE5" s="860">
        <f>'A12. YND Reconciliation Site 4'!E20</f>
        <v>0</v>
      </c>
      <c r="BF5" s="860">
        <f>'A12. YND Reconciliation Site 4'!E21</f>
        <v>0</v>
      </c>
      <c r="BG5" s="860">
        <f>'A12. YND Reconciliation Site 4'!E22</f>
        <v>0</v>
      </c>
      <c r="BH5" s="860">
        <f>'A12. YND Reconciliation Site 4'!E24</f>
        <v>0</v>
      </c>
      <c r="BI5" s="860">
        <f>'A12. YND Reconciliation Site 4'!E25</f>
        <v>0</v>
      </c>
      <c r="BJ5" s="860">
        <f t="shared" si="0"/>
        <v>0</v>
      </c>
      <c r="BK5" s="860">
        <f>'A12. YND Reconciliation Site 4'!E33</f>
        <v>0</v>
      </c>
      <c r="BL5" s="905">
        <f>'A12. YND Reconciliation Site 4'!E40</f>
        <v>0</v>
      </c>
      <c r="BM5" s="905">
        <f>'A12. YND Reconciliation Site 4'!E47</f>
        <v>0</v>
      </c>
      <c r="BN5" s="905">
        <f>'A12. YND Reconciliation Site 4'!E54</f>
        <v>0</v>
      </c>
      <c r="BO5" s="905">
        <f>'A12. YND Reconciliation Site 4'!E65</f>
        <v>0</v>
      </c>
      <c r="BP5" s="905">
        <f>'A12. YND Reconciliation Site 4'!E60</f>
        <v>0</v>
      </c>
      <c r="BQ5" s="905">
        <f>'A12. YND Reconciliation Site 4'!E67</f>
        <v>0</v>
      </c>
      <c r="BR5" s="906" t="e">
        <f>'A12. YND Reconciliation Site 4'!E77</f>
        <v>#DIV/0!</v>
      </c>
      <c r="BS5" s="907">
        <f>'A12. YND Reconciliation Site 4'!E79</f>
        <v>0</v>
      </c>
      <c r="BT5" s="886"/>
    </row>
    <row r="6" spans="1:72" ht="15.5">
      <c r="A6" s="822">
        <f>'A11.SFR&amp; Attestation Site 5'!F13</f>
        <v>232</v>
      </c>
      <c r="B6" s="857">
        <f>'A11.SFR&amp; Attestation Site 5'!F8</f>
        <v>0</v>
      </c>
      <c r="C6" s="857">
        <f>'A11.SFR&amp; Attestation Site 5'!F9</f>
        <v>0</v>
      </c>
      <c r="D6" s="857">
        <f>'A11.SFR&amp; Attestation Site 5'!F10</f>
        <v>0</v>
      </c>
      <c r="E6" s="858">
        <f>'A11.SFR&amp; Attestation Site 5'!F11</f>
        <v>0</v>
      </c>
      <c r="F6" s="822">
        <f>'A11.SFR&amp; Attestation Site 5'!F14</f>
        <v>2025</v>
      </c>
      <c r="G6" s="857">
        <f>'A11.SFR&amp; Attestation Site 5'!C82</f>
        <v>0</v>
      </c>
      <c r="H6" s="857">
        <f>'A11.SFR&amp; Attestation Site 5'!F82</f>
        <v>0</v>
      </c>
      <c r="I6" s="857">
        <f>'A11.SFR&amp; Attestation Site 5'!I82</f>
        <v>0</v>
      </c>
      <c r="J6" s="857">
        <f>'A11.SFR&amp; Attestation Site 5'!C88</f>
        <v>0</v>
      </c>
      <c r="K6" s="858">
        <f>'A11.SFR&amp; Attestation Site 5'!F96</f>
        <v>0</v>
      </c>
      <c r="L6" s="859">
        <f>'A11.SFR&amp; Attestation Site 5'!F18</f>
        <v>0</v>
      </c>
      <c r="M6" s="859">
        <f>'A11.SFR&amp; Attestation Site 5'!F21</f>
        <v>0</v>
      </c>
      <c r="N6" s="859">
        <f>'A11.SFR&amp; Attestation Site 5'!F22</f>
        <v>0</v>
      </c>
      <c r="O6" s="859">
        <f>'A11.SFR&amp; Attestation Site 5'!F23</f>
        <v>0</v>
      </c>
      <c r="P6" s="859">
        <f>'A11.SFR&amp; Attestation Site 5'!F24</f>
        <v>0</v>
      </c>
      <c r="Q6" s="859">
        <f>'A11.SFR&amp; Attestation Site 5'!F25</f>
        <v>0</v>
      </c>
      <c r="R6" s="859">
        <f>'A11.SFR&amp; Attestation Site 5'!F26</f>
        <v>0</v>
      </c>
      <c r="S6" s="859">
        <f>'A11.SFR&amp; Attestation Site 5'!I21</f>
        <v>0</v>
      </c>
      <c r="T6" s="859">
        <f>'A11.SFR&amp; Attestation Site 5'!I22</f>
        <v>0</v>
      </c>
      <c r="U6" s="859">
        <f>'A11.SFR&amp; Attestation Site 5'!I23</f>
        <v>0</v>
      </c>
      <c r="V6" s="859">
        <f>'A11.SFR&amp; Attestation Site 5'!I24</f>
        <v>0</v>
      </c>
      <c r="W6" s="859">
        <f>'A11.SFR&amp; Attestation Site 5'!I25</f>
        <v>0</v>
      </c>
      <c r="X6" s="859">
        <f>'A11.SFR&amp; Attestation Site 5'!I26</f>
        <v>0</v>
      </c>
      <c r="Y6" s="860">
        <f>'A11.SFR&amp; Attestation Site 5'!F32</f>
        <v>0</v>
      </c>
      <c r="Z6" s="860">
        <f>'A11.SFR&amp; Attestation Site 5'!F33</f>
        <v>0</v>
      </c>
      <c r="AA6" s="860">
        <f>'A11.SFR&amp; Attestation Site 5'!F40</f>
        <v>0</v>
      </c>
      <c r="AB6" s="860">
        <f>'A11.SFR&amp; Attestation Site 5'!F41</f>
        <v>0</v>
      </c>
      <c r="AC6" s="860">
        <f>'A11.SFR&amp; Attestation Site 5'!F42</f>
        <v>0</v>
      </c>
      <c r="AD6" s="860">
        <f>'A11.SFR&amp; Attestation Site 5'!F43</f>
        <v>0</v>
      </c>
      <c r="AE6" s="860">
        <f>'A11.SFR&amp; Attestation Site 5'!F44</f>
        <v>0</v>
      </c>
      <c r="AF6" s="281">
        <f>'A11.SFR&amp; Attestation Site 5'!F45</f>
        <v>0</v>
      </c>
      <c r="AG6" s="860">
        <f>'A11.SFR&amp; Attestation Site 5'!F48</f>
        <v>0</v>
      </c>
      <c r="AH6" s="860">
        <f>'A11.SFR&amp; Attestation Site 5'!F49</f>
        <v>0</v>
      </c>
      <c r="AI6" s="860">
        <f>'A11.SFR&amp; Attestation Site 5'!F50</f>
        <v>0</v>
      </c>
      <c r="AJ6" s="860">
        <f>'A11.SFR&amp; Attestation Site 5'!F51</f>
        <v>0</v>
      </c>
      <c r="AK6" s="860">
        <f>'A11.SFR&amp; Attestation Site 5'!F52</f>
        <v>0</v>
      </c>
      <c r="AL6" s="281">
        <f>'A11.SFR&amp; Attestation Site 5'!F53</f>
        <v>0</v>
      </c>
      <c r="AM6" s="987">
        <f>'A11.SFR&amp; Attestation Site 5'!F56</f>
        <v>0</v>
      </c>
      <c r="AN6" s="860">
        <f>'A11.SFR&amp; Attestation Site 5'!F57</f>
        <v>0</v>
      </c>
      <c r="AO6" s="860">
        <f>'A11.SFR&amp; Attestation Site 5'!F58</f>
        <v>0</v>
      </c>
      <c r="AP6" s="860">
        <f>'A11.SFR&amp; Attestation Site 5'!F59</f>
        <v>0</v>
      </c>
      <c r="AQ6" s="860">
        <f>'A11.SFR&amp; Attestation Site 5'!F60</f>
        <v>0</v>
      </c>
      <c r="AR6" s="860">
        <f>'A11.SFR&amp; Attestation Site 5'!F63</f>
        <v>0</v>
      </c>
      <c r="AS6" s="860">
        <f>'A11.SFR&amp; Attestation Site 5'!F64</f>
        <v>0</v>
      </c>
      <c r="AT6" s="860">
        <f>'A11.SFR&amp; Attestation Site 5'!F65</f>
        <v>0</v>
      </c>
      <c r="AU6" s="860">
        <f>'A11.SFR&amp; Attestation Site 5'!F66</f>
        <v>0</v>
      </c>
      <c r="AV6" s="860">
        <f>'A11.SFR&amp; Attestation Site 5'!F67</f>
        <v>0</v>
      </c>
      <c r="AW6" s="860">
        <f>'A11.SFR&amp; Attestation Site 5'!F68</f>
        <v>0</v>
      </c>
      <c r="AX6" s="860">
        <f>'A11.SFR&amp; Attestation Site 5'!F69</f>
        <v>0</v>
      </c>
      <c r="AY6" s="860">
        <f>'A11.SFR&amp; Attestation Site 5'!F70</f>
        <v>0</v>
      </c>
      <c r="AZ6" s="860">
        <f>'A11.SFR&amp; Attestation Site 5'!F71</f>
        <v>0</v>
      </c>
      <c r="BA6" s="860">
        <f>'A3. Peel Region Grants'!H$81+'A3. Peel Region Grants'!H$122</f>
        <v>0</v>
      </c>
      <c r="BB6" s="860">
        <f>'A11.SFR&amp; Attestation Site 5'!F79</f>
        <v>0</v>
      </c>
      <c r="BC6" s="860">
        <f>'A12. YND Reconciliation Site 5'!E15</f>
        <v>0</v>
      </c>
      <c r="BD6" s="860">
        <f>'A12. YND Reconciliation Site 5'!E16</f>
        <v>0</v>
      </c>
      <c r="BE6" s="860">
        <f>'A12. YND Reconciliation Site 5'!E20</f>
        <v>0</v>
      </c>
      <c r="BF6" s="860">
        <f>'A12. YND Reconciliation Site 5'!E21</f>
        <v>0</v>
      </c>
      <c r="BG6" s="860">
        <f>'A12. YND Reconciliation Site 5'!E22</f>
        <v>0</v>
      </c>
      <c r="BH6" s="860">
        <f>'A12. YND Reconciliation Site 5'!E24</f>
        <v>0</v>
      </c>
      <c r="BI6" s="860">
        <f>'A12. YND Reconciliation Site 5'!E25</f>
        <v>0</v>
      </c>
      <c r="BJ6" s="860">
        <f t="shared" si="0"/>
        <v>0</v>
      </c>
      <c r="BK6" s="860">
        <f>'A12. YND Reconciliation Site 5'!E33</f>
        <v>0</v>
      </c>
      <c r="BL6" s="905">
        <f>'A12. YND Reconciliation Site 5'!E40</f>
        <v>0</v>
      </c>
      <c r="BM6" s="905">
        <f>'A12. YND Reconciliation Site 5'!E47</f>
        <v>0</v>
      </c>
      <c r="BN6" s="905">
        <f>'A12. YND Reconciliation Site 5'!E54</f>
        <v>0</v>
      </c>
      <c r="BO6" s="905">
        <f>'A12. YND Reconciliation Site 5'!E65</f>
        <v>0</v>
      </c>
      <c r="BP6" s="905">
        <f>'A12. YND Reconciliation Site 5'!E60</f>
        <v>0</v>
      </c>
      <c r="BQ6" s="905">
        <f>'A12. YND Reconciliation Site 5'!E67</f>
        <v>0</v>
      </c>
      <c r="BR6" s="906" t="e">
        <f>'A12. YND Reconciliation Site 5'!E77</f>
        <v>#DIV/0!</v>
      </c>
      <c r="BS6" s="907">
        <f>'A12. YND Reconciliation Site 5'!E79</f>
        <v>0</v>
      </c>
      <c r="BT6" s="886"/>
    </row>
    <row r="9" spans="1:72">
      <c r="BP9" s="7"/>
    </row>
    <row r="10" spans="1:72">
      <c r="BM10" s="7"/>
    </row>
    <row r="11" spans="1:72">
      <c r="BQ11" s="7"/>
    </row>
  </sheetData>
  <sheetProtection algorithmName="SHA-512" hashValue="6IA6RCHUx5IyJrSg2p93pwuMd0lBZjSHUaurJtlNBFeMrR0GwnSLVPUvtDzqUsBCzl+kM/eRn4Fwyo15jg55iA==" saltValue="/l/0RuabPADnfES222N9bQ==" spinCount="100000" sheet="1" objects="1" scenarios="1"/>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D6C44-6D46-474E-BE77-A11996F7DC6B}">
  <sheetPr>
    <tabColor rgb="FFFF0000"/>
  </sheetPr>
  <dimension ref="A1:BT11"/>
  <sheetViews>
    <sheetView workbookViewId="0">
      <selection activeCell="BA29" sqref="BA29"/>
    </sheetView>
  </sheetViews>
  <sheetFormatPr defaultColWidth="9.1796875" defaultRowHeight="14.5"/>
  <cols>
    <col min="1" max="1" width="11" customWidth="1"/>
    <col min="2" max="2" width="16.7265625" customWidth="1"/>
    <col min="3" max="3" width="26.7265625" bestFit="1" customWidth="1"/>
    <col min="4" max="4" width="20.7265625" customWidth="1"/>
    <col min="5" max="5" width="18.54296875" customWidth="1"/>
    <col min="6" max="6" width="11.7265625" customWidth="1"/>
    <col min="7" max="7" width="12.7265625" customWidth="1"/>
    <col min="8" max="8" width="19.7265625" customWidth="1"/>
    <col min="9" max="9" width="27.7265625" customWidth="1"/>
    <col min="10" max="10" width="14.453125" customWidth="1"/>
    <col min="11" max="11" width="14.54296875" customWidth="1"/>
    <col min="12" max="12" width="18.26953125" customWidth="1"/>
    <col min="13" max="14" width="20" customWidth="1"/>
    <col min="15" max="15" width="21.54296875" customWidth="1"/>
    <col min="16" max="16" width="16.7265625" customWidth="1"/>
    <col min="17" max="17" width="14.26953125" customWidth="1"/>
    <col min="18" max="18" width="16.1796875" bestFit="1" customWidth="1"/>
    <col min="19" max="19" width="13.26953125" bestFit="1" customWidth="1"/>
    <col min="20" max="20" width="14.1796875" bestFit="1" customWidth="1"/>
    <col min="21" max="21" width="15" bestFit="1" customWidth="1"/>
    <col min="22" max="22" width="13.7265625" bestFit="1" customWidth="1"/>
    <col min="23" max="23" width="13.1796875" bestFit="1" customWidth="1"/>
    <col min="24" max="24" width="15.1796875" bestFit="1" customWidth="1"/>
    <col min="25" max="25" width="14.7265625" bestFit="1" customWidth="1"/>
    <col min="26" max="26" width="14.26953125" bestFit="1" customWidth="1"/>
    <col min="27" max="27" width="12.7265625" customWidth="1"/>
    <col min="28" max="28" width="12" customWidth="1"/>
    <col min="29" max="29" width="11.7265625" customWidth="1"/>
    <col min="30" max="30" width="13.453125" customWidth="1"/>
    <col min="31" max="31" width="12" customWidth="1"/>
    <col min="32" max="32" width="17.26953125" customWidth="1"/>
    <col min="33" max="33" width="10.54296875" customWidth="1"/>
    <col min="34" max="34" width="9.453125" customWidth="1"/>
    <col min="35" max="35" width="13.26953125" customWidth="1"/>
    <col min="36" max="36" width="11.7265625" customWidth="1"/>
    <col min="37" max="37" width="13" customWidth="1"/>
    <col min="38" max="38" width="17.1796875" customWidth="1"/>
    <col min="39" max="39" width="15.7265625" customWidth="1"/>
    <col min="41" max="41" width="11.7265625" customWidth="1"/>
    <col min="42" max="42" width="12.7265625" customWidth="1"/>
    <col min="43" max="43" width="11.7265625" customWidth="1"/>
    <col min="44" max="44" width="13.7265625" bestFit="1" customWidth="1"/>
    <col min="45" max="45" width="12.453125" bestFit="1" customWidth="1"/>
    <col min="46" max="46" width="12" customWidth="1"/>
    <col min="47" max="47" width="12.453125" customWidth="1"/>
    <col min="48" max="48" width="14" customWidth="1"/>
    <col min="49" max="49" width="17.7265625" customWidth="1"/>
    <col min="50" max="50" width="15.1796875" bestFit="1" customWidth="1"/>
    <col min="51" max="51" width="15" bestFit="1" customWidth="1"/>
    <col min="52" max="52" width="10.1796875" bestFit="1" customWidth="1"/>
    <col min="53" max="53" width="11.26953125" customWidth="1"/>
    <col min="54" max="54" width="13.1796875" customWidth="1"/>
    <col min="55" max="60" width="14" customWidth="1"/>
    <col min="61" max="61" width="18.26953125" customWidth="1"/>
    <col min="62" max="62" width="14" customWidth="1"/>
    <col min="63" max="63" width="15" customWidth="1"/>
    <col min="64" max="64" width="14" customWidth="1"/>
    <col min="65" max="65" width="15.7265625" customWidth="1"/>
    <col min="66" max="67" width="14" customWidth="1"/>
    <col min="68" max="68" width="19" bestFit="1" customWidth="1"/>
    <col min="69" max="69" width="19.26953125" bestFit="1" customWidth="1"/>
    <col min="70" max="70" width="16.26953125" customWidth="1"/>
    <col min="71" max="71" width="19.1796875" customWidth="1"/>
    <col min="72" max="72" width="15.453125" customWidth="1"/>
  </cols>
  <sheetData>
    <row r="1" spans="1:72">
      <c r="A1" s="853" t="s">
        <v>679</v>
      </c>
      <c r="B1" s="853" t="s">
        <v>680</v>
      </c>
      <c r="C1" s="853" t="s">
        <v>681</v>
      </c>
      <c r="D1" s="853" t="s">
        <v>682</v>
      </c>
      <c r="E1" s="853" t="s">
        <v>683</v>
      </c>
      <c r="F1" s="853" t="s">
        <v>684</v>
      </c>
      <c r="G1" s="853" t="s">
        <v>685</v>
      </c>
      <c r="H1" s="853" t="s">
        <v>686</v>
      </c>
      <c r="I1" s="853" t="s">
        <v>687</v>
      </c>
      <c r="J1" s="853" t="s">
        <v>688</v>
      </c>
      <c r="K1" s="853" t="s">
        <v>689</v>
      </c>
      <c r="L1" s="854" t="s">
        <v>690</v>
      </c>
      <c r="M1" s="855" t="s">
        <v>738</v>
      </c>
      <c r="N1" s="855" t="s">
        <v>739</v>
      </c>
      <c r="O1" s="855" t="s">
        <v>740</v>
      </c>
      <c r="P1" s="855" t="s">
        <v>741</v>
      </c>
      <c r="Q1" s="855" t="s">
        <v>742</v>
      </c>
      <c r="R1" s="855" t="s">
        <v>743</v>
      </c>
      <c r="S1" s="855" t="s">
        <v>744</v>
      </c>
      <c r="T1" s="855" t="s">
        <v>745</v>
      </c>
      <c r="U1" s="855" t="s">
        <v>746</v>
      </c>
      <c r="V1" s="855" t="s">
        <v>747</v>
      </c>
      <c r="W1" s="855" t="s">
        <v>748</v>
      </c>
      <c r="X1" s="855" t="s">
        <v>749</v>
      </c>
      <c r="Y1" s="855" t="s">
        <v>691</v>
      </c>
      <c r="Z1" s="855" t="s">
        <v>692</v>
      </c>
      <c r="AA1" s="855" t="s">
        <v>750</v>
      </c>
      <c r="AB1" s="855" t="s">
        <v>751</v>
      </c>
      <c r="AC1" s="855" t="s">
        <v>752</v>
      </c>
      <c r="AD1" s="855" t="s">
        <v>753</v>
      </c>
      <c r="AE1" s="855" t="s">
        <v>754</v>
      </c>
      <c r="AF1" s="855" t="s">
        <v>755</v>
      </c>
      <c r="AG1" s="855" t="s">
        <v>756</v>
      </c>
      <c r="AH1" s="855" t="s">
        <v>757</v>
      </c>
      <c r="AI1" s="855" t="s">
        <v>758</v>
      </c>
      <c r="AJ1" s="855" t="s">
        <v>759</v>
      </c>
      <c r="AK1" s="855" t="s">
        <v>760</v>
      </c>
      <c r="AL1" s="855" t="s">
        <v>761</v>
      </c>
      <c r="AM1" s="855" t="s">
        <v>762</v>
      </c>
      <c r="AN1" s="855" t="s">
        <v>763</v>
      </c>
      <c r="AO1" s="855" t="s">
        <v>764</v>
      </c>
      <c r="AP1" s="855" t="s">
        <v>765</v>
      </c>
      <c r="AQ1" s="855" t="s">
        <v>766</v>
      </c>
      <c r="AR1" s="855" t="s">
        <v>693</v>
      </c>
      <c r="AS1" s="855" t="s">
        <v>694</v>
      </c>
      <c r="AT1" s="855" t="s">
        <v>695</v>
      </c>
      <c r="AU1" s="855" t="s">
        <v>696</v>
      </c>
      <c r="AV1" s="855" t="s">
        <v>697</v>
      </c>
      <c r="AW1" s="855" t="s">
        <v>698</v>
      </c>
      <c r="AX1" s="855" t="s">
        <v>699</v>
      </c>
      <c r="AY1" s="855" t="s">
        <v>700</v>
      </c>
      <c r="AZ1" s="855" t="s">
        <v>701</v>
      </c>
      <c r="BA1" s="855" t="s">
        <v>702</v>
      </c>
      <c r="BB1" s="855" t="s">
        <v>703</v>
      </c>
      <c r="BC1" s="856" t="s">
        <v>704</v>
      </c>
      <c r="BD1" s="856" t="s">
        <v>705</v>
      </c>
      <c r="BE1" s="856" t="s">
        <v>706</v>
      </c>
      <c r="BF1" s="856" t="s">
        <v>707</v>
      </c>
      <c r="BG1" s="856" t="s">
        <v>708</v>
      </c>
      <c r="BH1" s="856" t="s">
        <v>709</v>
      </c>
      <c r="BI1" s="856" t="s">
        <v>710</v>
      </c>
      <c r="BJ1" s="856" t="s">
        <v>711</v>
      </c>
      <c r="BK1" s="856" t="s">
        <v>712</v>
      </c>
      <c r="BL1" s="856" t="s">
        <v>713</v>
      </c>
      <c r="BM1" s="856" t="s">
        <v>714</v>
      </c>
      <c r="BN1" s="856" t="s">
        <v>715</v>
      </c>
      <c r="BO1" s="856" t="s">
        <v>716</v>
      </c>
      <c r="BP1" s="856" t="s">
        <v>717</v>
      </c>
      <c r="BQ1" s="856" t="s">
        <v>718</v>
      </c>
      <c r="BR1" s="856" t="s">
        <v>767</v>
      </c>
      <c r="BS1" s="856" t="s">
        <v>719</v>
      </c>
      <c r="BT1" s="856" t="s">
        <v>864</v>
      </c>
    </row>
    <row r="2" spans="1:72" ht="15.5">
      <c r="A2" s="822">
        <f>'A11.SFR&amp; Attestation Site 1'!F13</f>
        <v>232</v>
      </c>
      <c r="B2" s="857">
        <f>'A11.SFR&amp; Attestation Site 1'!F8</f>
        <v>0</v>
      </c>
      <c r="C2" s="857">
        <f>'A11.SFR&amp; Attestation Site 1'!F9</f>
        <v>0</v>
      </c>
      <c r="D2" s="857">
        <f>'A11.SFR&amp; Attestation Site 1'!F10</f>
        <v>0</v>
      </c>
      <c r="E2" s="858">
        <f>'A11.SFR&amp; Attestation Site 1'!F11</f>
        <v>0</v>
      </c>
      <c r="F2" s="822">
        <f>'A11.SFR&amp; Attestation Site 1'!F14</f>
        <v>2025</v>
      </c>
      <c r="G2" s="857">
        <f>'A11.SFR&amp; Attestation Site 1'!C82</f>
        <v>0</v>
      </c>
      <c r="H2" s="857">
        <f>'A11.SFR&amp; Attestation Site 1'!F82</f>
        <v>0</v>
      </c>
      <c r="I2" s="857">
        <f>'A11.SFR&amp; Attestation Site 1'!I82</f>
        <v>0</v>
      </c>
      <c r="J2" s="857">
        <f>'A11.SFR&amp; Attestation Site 1'!C88</f>
        <v>0</v>
      </c>
      <c r="K2" s="858">
        <f>'A11.SFR&amp; Attestation Site 1'!F96</f>
        <v>0</v>
      </c>
      <c r="L2" s="859">
        <f>'A11.SFR&amp; Attestation Site 1'!F18</f>
        <v>0</v>
      </c>
      <c r="M2" s="859">
        <f>'A11.SFR&amp; Attestation Site 1'!F21</f>
        <v>2610</v>
      </c>
      <c r="N2" s="859">
        <f>'A11.SFR&amp; Attestation Site 1'!F22</f>
        <v>0</v>
      </c>
      <c r="O2" s="859">
        <f>'A11.SFR&amp; Attestation Site 1'!F23</f>
        <v>0</v>
      </c>
      <c r="P2" s="859">
        <f>'A11.SFR&amp; Attestation Site 1'!F24</f>
        <v>0</v>
      </c>
      <c r="Q2" s="859">
        <f>'A11.SFR&amp; Attestation Site 1'!F25</f>
        <v>0</v>
      </c>
      <c r="R2" s="859">
        <f>'A11.SFR&amp; Attestation Site 1'!F26</f>
        <v>3915</v>
      </c>
      <c r="S2" s="859">
        <f>'A11.SFR&amp; Attestation Site 1'!I21</f>
        <v>2610</v>
      </c>
      <c r="T2" s="859">
        <f>'A11.SFR&amp; Attestation Site 1'!I22</f>
        <v>0</v>
      </c>
      <c r="U2" s="859">
        <f>'A11.SFR&amp; Attestation Site 1'!I23</f>
        <v>0</v>
      </c>
      <c r="V2" s="859">
        <f>'A11.SFR&amp; Attestation Site 1'!I24</f>
        <v>0</v>
      </c>
      <c r="W2" s="859">
        <f>'A11.SFR&amp; Attestation Site 1'!I25</f>
        <v>0</v>
      </c>
      <c r="X2" s="859">
        <f>'A11.SFR&amp; Attestation Site 1'!I26</f>
        <v>3915</v>
      </c>
      <c r="Y2" s="860">
        <f>'A11.SFR&amp; Attestation Site 1'!F32</f>
        <v>0</v>
      </c>
      <c r="Z2" s="860">
        <f>'A11.SFR&amp; Attestation Site 1'!F33</f>
        <v>0</v>
      </c>
      <c r="AA2" s="860">
        <f>'A11.SFR&amp; Attestation Site 1'!F40</f>
        <v>0</v>
      </c>
      <c r="AB2" s="860">
        <f>'A11.SFR&amp; Attestation Site 1'!F41</f>
        <v>0</v>
      </c>
      <c r="AC2" s="860">
        <f>'A11.SFR&amp; Attestation Site 1'!F42</f>
        <v>0</v>
      </c>
      <c r="AD2" s="860">
        <f>'A11.SFR&amp; Attestation Site 1'!F43</f>
        <v>0</v>
      </c>
      <c r="AE2" s="860">
        <f>'A11.SFR&amp; Attestation Site 1'!F44</f>
        <v>0</v>
      </c>
      <c r="AF2" s="281">
        <f>'A11.SFR&amp; Attestation Site 1'!F45</f>
        <v>0</v>
      </c>
      <c r="AG2" s="860">
        <f>'A11.SFR&amp; Attestation Site 1'!F48</f>
        <v>0</v>
      </c>
      <c r="AH2" s="860">
        <f>'A11.SFR&amp; Attestation Site 1'!F49</f>
        <v>0</v>
      </c>
      <c r="AI2" s="860">
        <f>'A11.SFR&amp; Attestation Site 1'!F50</f>
        <v>0</v>
      </c>
      <c r="AJ2" s="860">
        <f>'A11.SFR&amp; Attestation Site 1'!F51</f>
        <v>0</v>
      </c>
      <c r="AK2" s="860">
        <f>'A11.SFR&amp; Attestation Site 1'!F52</f>
        <v>0</v>
      </c>
      <c r="AL2" s="281">
        <f>'A11.SFR&amp; Attestation Site 1'!F53</f>
        <v>0</v>
      </c>
      <c r="AM2" s="987">
        <f>'A11.SFR&amp; Attestation Site 1'!F56</f>
        <v>0</v>
      </c>
      <c r="AN2" s="860">
        <f>'A11.SFR&amp; Attestation Site 1'!F57</f>
        <v>0</v>
      </c>
      <c r="AO2" s="860">
        <f>'A11.SFR&amp; Attestation Site 1'!F58</f>
        <v>0</v>
      </c>
      <c r="AP2" s="860">
        <f>'A11.SFR&amp; Attestation Site 1'!F59</f>
        <v>0</v>
      </c>
      <c r="AQ2" s="860">
        <f>'A11.SFR&amp; Attestation Site 1'!F60</f>
        <v>0</v>
      </c>
      <c r="AR2" s="860">
        <f>'A11.SFR&amp; Attestation Site 1'!F63</f>
        <v>0</v>
      </c>
      <c r="AS2" s="860">
        <f>'A11.SFR&amp; Attestation Site 1'!F64</f>
        <v>0</v>
      </c>
      <c r="AT2" s="860">
        <f>'A11.SFR&amp; Attestation Site 1'!F65</f>
        <v>0</v>
      </c>
      <c r="AU2" s="860">
        <f>'A11.SFR&amp; Attestation Site 1'!F66</f>
        <v>0</v>
      </c>
      <c r="AV2" s="860">
        <f>'A11.SFR&amp; Attestation Site 1'!F67</f>
        <v>0</v>
      </c>
      <c r="AW2" s="860">
        <f>'A11.SFR&amp; Attestation Site 1'!F68</f>
        <v>0</v>
      </c>
      <c r="AX2" s="860">
        <f>'A11.SFR&amp; Attestation Site 1'!F69</f>
        <v>0</v>
      </c>
      <c r="AY2" s="860">
        <f>'A11.SFR&amp; Attestation Site 1'!F70</f>
        <v>0</v>
      </c>
      <c r="AZ2" s="860">
        <f>'A11.SFR&amp; Attestation Site 1'!F71</f>
        <v>0</v>
      </c>
      <c r="BA2" s="860">
        <f>'A3. Peel Region Grants'!D$81+'A3. Peel Region Grants'!D$122</f>
        <v>0</v>
      </c>
      <c r="BB2" s="860">
        <f>'A11.SFR&amp; Attestation Site 1'!F79</f>
        <v>0</v>
      </c>
      <c r="BC2" s="860">
        <f>'A12. YND Reconciliation Site 1'!E15</f>
        <v>0</v>
      </c>
      <c r="BD2" s="860">
        <f>'A12. YND Reconciliation Site 1'!E16</f>
        <v>0</v>
      </c>
      <c r="BE2" s="860">
        <f>'A12. YND Reconciliation Site 1'!E20</f>
        <v>0</v>
      </c>
      <c r="BF2" s="860">
        <f>'A12. YND Reconciliation Site 1'!E21</f>
        <v>0</v>
      </c>
      <c r="BG2" s="860">
        <f>'A12. YND Reconciliation Site 1'!E22</f>
        <v>0</v>
      </c>
      <c r="BH2" s="860">
        <f>'A12. YND Reconciliation Site 1'!E24</f>
        <v>0</v>
      </c>
      <c r="BI2" s="860">
        <f>'A12. YND Reconciliation Site 1'!E25</f>
        <v>0</v>
      </c>
      <c r="BJ2" s="860">
        <f>BD2</f>
        <v>0</v>
      </c>
      <c r="BK2" s="860">
        <f>'A12. YND Reconciliation Site 1'!E33</f>
        <v>0</v>
      </c>
      <c r="BL2" s="905">
        <f>'A12. YND Reconciliation Site 1'!E40</f>
        <v>6000</v>
      </c>
      <c r="BM2" s="905">
        <f>'A12. YND Reconciliation Site 1'!E47</f>
        <v>0</v>
      </c>
      <c r="BN2" s="905">
        <f>'A12. YND Reconciliation Site 1'!E54</f>
        <v>6000</v>
      </c>
      <c r="BO2" s="905">
        <f>'A12. YND Reconciliation Site 1'!E65</f>
        <v>0</v>
      </c>
      <c r="BP2" s="905">
        <f>'A12. YND Reconciliation Site 1'!E60</f>
        <v>-6000</v>
      </c>
      <c r="BQ2" s="905">
        <f>'A12. YND Reconciliation Site 1'!E67</f>
        <v>0</v>
      </c>
      <c r="BR2" s="906" t="e">
        <f>'A12. YND Reconciliation Site 1'!E77</f>
        <v>#DIV/0!</v>
      </c>
      <c r="BS2" s="907">
        <f>'A12. YND Reconciliation Site 1'!E79</f>
        <v>0</v>
      </c>
      <c r="BT2" s="886">
        <f>'A9. SummaryOfReconciliations '!F22</f>
        <v>0</v>
      </c>
    </row>
    <row r="3" spans="1:72" ht="15.5">
      <c r="A3" s="822">
        <f>'A11.SFR&amp; Attestation Site 2'!F13</f>
        <v>232</v>
      </c>
      <c r="B3" s="857">
        <f>'A11.SFR&amp; Attestation Site 2'!F8</f>
        <v>0</v>
      </c>
      <c r="C3" s="857">
        <f>'A11.SFR&amp; Attestation Site 2'!F9</f>
        <v>0</v>
      </c>
      <c r="D3" s="857">
        <f>'A11.SFR&amp; Attestation Site 2'!F10</f>
        <v>0</v>
      </c>
      <c r="E3" s="858">
        <f>'A11.SFR&amp; Attestation Site 2'!F11</f>
        <v>0</v>
      </c>
      <c r="F3" s="822">
        <f>'A11.SFR&amp; Attestation Site 2'!F14</f>
        <v>2025</v>
      </c>
      <c r="G3" s="857">
        <f>'A11.SFR&amp; Attestation Site 2'!C82</f>
        <v>0</v>
      </c>
      <c r="H3" s="857">
        <f>'A11.SFR&amp; Attestation Site 2'!F82</f>
        <v>0</v>
      </c>
      <c r="I3" s="857">
        <f>'A11.SFR&amp; Attestation Site 2'!I82</f>
        <v>0</v>
      </c>
      <c r="J3" s="857">
        <f>'A11.SFR&amp; Attestation Site 2'!C88</f>
        <v>0</v>
      </c>
      <c r="K3" s="858">
        <f>'A11.SFR&amp; Attestation Site 2'!F96</f>
        <v>0</v>
      </c>
      <c r="L3" s="859">
        <f>'A11.SFR&amp; Attestation Site 2'!F18</f>
        <v>0</v>
      </c>
      <c r="M3" s="859">
        <f>'A11.SFR&amp; Attestation Site 2'!F21</f>
        <v>0</v>
      </c>
      <c r="N3" s="859">
        <f>'A11.SFR&amp; Attestation Site 2'!F22</f>
        <v>0</v>
      </c>
      <c r="O3" s="859">
        <f>'A11.SFR&amp; Attestation Site 2'!F23</f>
        <v>0</v>
      </c>
      <c r="P3" s="859">
        <f>'A11.SFR&amp; Attestation Site 2'!F24</f>
        <v>0</v>
      </c>
      <c r="Q3" s="859">
        <f>'A11.SFR&amp; Attestation Site 2'!F25</f>
        <v>0</v>
      </c>
      <c r="R3" s="859">
        <f>'A11.SFR&amp; Attestation Site 2'!F26</f>
        <v>0</v>
      </c>
      <c r="S3" s="859">
        <f>'A11.SFR&amp; Attestation Site 2'!I21</f>
        <v>0</v>
      </c>
      <c r="T3" s="859">
        <f>'A11.SFR&amp; Attestation Site 2'!I22</f>
        <v>0</v>
      </c>
      <c r="U3" s="859">
        <f>'A11.SFR&amp; Attestation Site 2'!I23</f>
        <v>0</v>
      </c>
      <c r="V3" s="859">
        <f>'A11.SFR&amp; Attestation Site 2'!I24</f>
        <v>0</v>
      </c>
      <c r="W3" s="859">
        <f>'A11.SFR&amp; Attestation Site 2'!I25</f>
        <v>0</v>
      </c>
      <c r="X3" s="859">
        <f>'A11.SFR&amp; Attestation Site 2'!I26</f>
        <v>0</v>
      </c>
      <c r="Y3" s="860">
        <f>'A11.SFR&amp; Attestation Site 2'!F32</f>
        <v>0</v>
      </c>
      <c r="Z3" s="860">
        <f>'A11.SFR&amp; Attestation Site 2'!F33</f>
        <v>0</v>
      </c>
      <c r="AA3" s="860">
        <f>'A11.SFR&amp; Attestation Site 2'!F40</f>
        <v>0</v>
      </c>
      <c r="AB3" s="860">
        <f>'A11.SFR&amp; Attestation Site 2'!F41</f>
        <v>0</v>
      </c>
      <c r="AC3" s="860">
        <f>'A11.SFR&amp; Attestation Site 2'!F42</f>
        <v>0</v>
      </c>
      <c r="AD3" s="860">
        <f>'A11.SFR&amp; Attestation Site 2'!F43</f>
        <v>0</v>
      </c>
      <c r="AE3" s="860">
        <f>'A11.SFR&amp; Attestation Site 2'!F44</f>
        <v>0</v>
      </c>
      <c r="AF3" s="281">
        <f>'A11.SFR&amp; Attestation Site 2'!F45</f>
        <v>0</v>
      </c>
      <c r="AG3" s="860">
        <f>'A11.SFR&amp; Attestation Site 2'!F48</f>
        <v>0</v>
      </c>
      <c r="AH3" s="860">
        <f>'A11.SFR&amp; Attestation Site 2'!F49</f>
        <v>0</v>
      </c>
      <c r="AI3" s="860">
        <f>'A11.SFR&amp; Attestation Site 2'!F50</f>
        <v>0</v>
      </c>
      <c r="AJ3" s="860">
        <f>'A11.SFR&amp; Attestation Site 2'!F51</f>
        <v>0</v>
      </c>
      <c r="AK3" s="860">
        <f>'A11.SFR&amp; Attestation Site 2'!F52</f>
        <v>0</v>
      </c>
      <c r="AL3" s="281">
        <f>'A11.SFR&amp; Attestation Site 2'!F53</f>
        <v>0</v>
      </c>
      <c r="AM3" s="987">
        <f>'A11.SFR&amp; Attestation Site 2'!F56</f>
        <v>0</v>
      </c>
      <c r="AN3" s="860">
        <f>'A11.SFR&amp; Attestation Site 2'!F57</f>
        <v>0</v>
      </c>
      <c r="AO3" s="860">
        <f>'A11.SFR&amp; Attestation Site 2'!F58</f>
        <v>0</v>
      </c>
      <c r="AP3" s="860">
        <f>'A11.SFR&amp; Attestation Site 2'!F59</f>
        <v>0</v>
      </c>
      <c r="AQ3" s="860">
        <f>'A11.SFR&amp; Attestation Site 2'!F60</f>
        <v>0</v>
      </c>
      <c r="AR3" s="860">
        <f>'A11.SFR&amp; Attestation Site 2'!F63</f>
        <v>0</v>
      </c>
      <c r="AS3" s="860">
        <f>'A11.SFR&amp; Attestation Site 2'!F64</f>
        <v>0</v>
      </c>
      <c r="AT3" s="860">
        <f>'A11.SFR&amp; Attestation Site 2'!F65</f>
        <v>0</v>
      </c>
      <c r="AU3" s="860">
        <f>'A11.SFR&amp; Attestation Site 2'!F66</f>
        <v>0</v>
      </c>
      <c r="AV3" s="860">
        <f>'A11.SFR&amp; Attestation Site 2'!F67</f>
        <v>0</v>
      </c>
      <c r="AW3" s="860">
        <f>'A11.SFR&amp; Attestation Site 2'!F68</f>
        <v>0</v>
      </c>
      <c r="AX3" s="860">
        <f>'A11.SFR&amp; Attestation Site 2'!F69</f>
        <v>0</v>
      </c>
      <c r="AY3" s="860">
        <f>'A11.SFR&amp; Attestation Site 2'!F70</f>
        <v>0</v>
      </c>
      <c r="AZ3" s="860">
        <f>'A11.SFR&amp; Attestation Site 2'!F71</f>
        <v>0</v>
      </c>
      <c r="BA3" s="860">
        <f>'A3. Peel Region Grants'!E$81+'A3. Peel Region Grants'!E$122</f>
        <v>0</v>
      </c>
      <c r="BB3" s="860">
        <f>'A11.SFR&amp; Attestation Site 2'!F79</f>
        <v>0</v>
      </c>
      <c r="BC3" s="860">
        <f>'A12. YND Reconciliation Site 2'!E15</f>
        <v>0</v>
      </c>
      <c r="BD3" s="860">
        <f>'A12. YND Reconciliation Site 2'!E16</f>
        <v>0</v>
      </c>
      <c r="BE3" s="860">
        <f>'A12. YND Reconciliation Site 2'!E20</f>
        <v>0</v>
      </c>
      <c r="BF3" s="860">
        <f>'A12. YND Reconciliation Site 2'!E21</f>
        <v>0</v>
      </c>
      <c r="BG3" s="860">
        <f>'A12. YND Reconciliation Site 2'!E22</f>
        <v>0</v>
      </c>
      <c r="BH3" s="860">
        <f>'A12. YND Reconciliation Site 2'!E24</f>
        <v>0</v>
      </c>
      <c r="BI3" s="860">
        <f>'A12. YND Reconciliation Site 2'!E25</f>
        <v>0</v>
      </c>
      <c r="BJ3" s="860">
        <f t="shared" ref="BJ3:BJ6" si="0">BD3</f>
        <v>0</v>
      </c>
      <c r="BK3" s="860">
        <f>'A12. YND Reconciliation Site 2'!E33</f>
        <v>0</v>
      </c>
      <c r="BL3" s="905">
        <f>'A12. YND Reconciliation Site 2'!E40</f>
        <v>0</v>
      </c>
      <c r="BM3" s="905">
        <f>'A12. YND Reconciliation Site 2'!E47</f>
        <v>0</v>
      </c>
      <c r="BN3" s="905">
        <f>'A12. YND Reconciliation Site 2'!E54</f>
        <v>0</v>
      </c>
      <c r="BO3" s="905">
        <f>'A12. YND Reconciliation Site 2'!E65</f>
        <v>0</v>
      </c>
      <c r="BP3" s="905">
        <f>'A12. YND Reconciliation Site 2'!E60</f>
        <v>0</v>
      </c>
      <c r="BQ3" s="905">
        <f>'A12. YND Reconciliation Site 2'!E67</f>
        <v>0</v>
      </c>
      <c r="BR3" s="906" t="e">
        <f>'A12. YND Reconciliation Site 2'!E77</f>
        <v>#DIV/0!</v>
      </c>
      <c r="BS3" s="907">
        <f>'A12. YND Reconciliation Site 2'!E79</f>
        <v>0</v>
      </c>
      <c r="BT3" s="886"/>
    </row>
    <row r="4" spans="1:72" ht="15.5">
      <c r="A4" s="822">
        <f>'A11.SFR&amp; Attestation Site 3'!F13</f>
        <v>232</v>
      </c>
      <c r="B4" s="857">
        <f>'A11.SFR&amp; Attestation Site 3'!F8</f>
        <v>0</v>
      </c>
      <c r="C4" s="857">
        <f>'A11.SFR&amp; Attestation Site 3'!F9</f>
        <v>0</v>
      </c>
      <c r="D4" s="857">
        <f>'A11.SFR&amp; Attestation Site 3'!F10</f>
        <v>0</v>
      </c>
      <c r="E4" s="858">
        <f>'A11.SFR&amp; Attestation Site 3'!F11</f>
        <v>0</v>
      </c>
      <c r="F4" s="822">
        <f>'A11.SFR&amp; Attestation Site 3'!F14</f>
        <v>2025</v>
      </c>
      <c r="G4" s="857">
        <f>'A11.SFR&amp; Attestation Site 3'!C82</f>
        <v>0</v>
      </c>
      <c r="H4" s="857">
        <f>'A11.SFR&amp; Attestation Site 3'!F82</f>
        <v>0</v>
      </c>
      <c r="I4" s="857">
        <f>'A11.SFR&amp; Attestation Site 3'!I82</f>
        <v>0</v>
      </c>
      <c r="J4" s="857">
        <f>'A11.SFR&amp; Attestation Site 3'!C88</f>
        <v>0</v>
      </c>
      <c r="K4" s="858">
        <f>'A11.SFR&amp; Attestation Site 3'!F96</f>
        <v>0</v>
      </c>
      <c r="L4" s="859">
        <f>'A11.SFR&amp; Attestation Site 3'!F18</f>
        <v>0</v>
      </c>
      <c r="M4" s="859">
        <f>'A11.SFR&amp; Attestation Site 3'!F21</f>
        <v>0</v>
      </c>
      <c r="N4" s="859">
        <f>'A11.SFR&amp; Attestation Site 3'!F22</f>
        <v>0</v>
      </c>
      <c r="O4" s="859">
        <f>'A11.SFR&amp; Attestation Site 3'!F23</f>
        <v>0</v>
      </c>
      <c r="P4" s="859">
        <f>'A11.SFR&amp; Attestation Site 3'!F24</f>
        <v>0</v>
      </c>
      <c r="Q4" s="859">
        <f>'A11.SFR&amp; Attestation Site 3'!F25</f>
        <v>0</v>
      </c>
      <c r="R4" s="859">
        <f>'A11.SFR&amp; Attestation Site 3'!F26</f>
        <v>0</v>
      </c>
      <c r="S4" s="859">
        <f>'A11.SFR&amp; Attestation Site 3'!I21</f>
        <v>0</v>
      </c>
      <c r="T4" s="859">
        <f>'A11.SFR&amp; Attestation Site 3'!I22</f>
        <v>0</v>
      </c>
      <c r="U4" s="859">
        <f>'A11.SFR&amp; Attestation Site 3'!I23</f>
        <v>0</v>
      </c>
      <c r="V4" s="859">
        <f>'A11.SFR&amp; Attestation Site 3'!I24</f>
        <v>0</v>
      </c>
      <c r="W4" s="859">
        <f>'A11.SFR&amp; Attestation Site 3'!I25</f>
        <v>0</v>
      </c>
      <c r="X4" s="859">
        <f>'A11.SFR&amp; Attestation Site 3'!I26</f>
        <v>0</v>
      </c>
      <c r="Y4" s="860">
        <f>'A11.SFR&amp; Attestation Site 3'!F32</f>
        <v>0</v>
      </c>
      <c r="Z4" s="860">
        <f>'A11.SFR&amp; Attestation Site 3'!F33</f>
        <v>0</v>
      </c>
      <c r="AA4" s="860">
        <f>'A11.SFR&amp; Attestation Site 3'!F40</f>
        <v>0</v>
      </c>
      <c r="AB4" s="860">
        <f>'A11.SFR&amp; Attestation Site 3'!F41</f>
        <v>0</v>
      </c>
      <c r="AC4" s="860">
        <f>'A11.SFR&amp; Attestation Site 3'!F42</f>
        <v>0</v>
      </c>
      <c r="AD4" s="860">
        <f>'A11.SFR&amp; Attestation Site 3'!F43</f>
        <v>0</v>
      </c>
      <c r="AE4" s="860">
        <f>'A11.SFR&amp; Attestation Site 3'!F44</f>
        <v>0</v>
      </c>
      <c r="AF4" s="281">
        <f>'A11.SFR&amp; Attestation Site 3'!F45</f>
        <v>0</v>
      </c>
      <c r="AG4" s="860">
        <f>'A11.SFR&amp; Attestation Site 3'!F48</f>
        <v>0</v>
      </c>
      <c r="AH4" s="860">
        <f>'A11.SFR&amp; Attestation Site 3'!F49</f>
        <v>0</v>
      </c>
      <c r="AI4" s="860">
        <f>'A11.SFR&amp; Attestation Site 3'!F50</f>
        <v>0</v>
      </c>
      <c r="AJ4" s="860">
        <f>'A11.SFR&amp; Attestation Site 3'!F51</f>
        <v>0</v>
      </c>
      <c r="AK4" s="860">
        <f>'A11.SFR&amp; Attestation Site 3'!F52</f>
        <v>0</v>
      </c>
      <c r="AL4" s="281">
        <f>'A11.SFR&amp; Attestation Site 3'!F53</f>
        <v>0</v>
      </c>
      <c r="AM4" s="987">
        <f>'A11.SFR&amp; Attestation Site 3'!F56</f>
        <v>0</v>
      </c>
      <c r="AN4" s="860">
        <f>'A11.SFR&amp; Attestation Site 3'!F57</f>
        <v>0</v>
      </c>
      <c r="AO4" s="860">
        <f>'A11.SFR&amp; Attestation Site 3'!F58</f>
        <v>0</v>
      </c>
      <c r="AP4" s="860">
        <f>'A11.SFR&amp; Attestation Site 3'!F59</f>
        <v>0</v>
      </c>
      <c r="AQ4" s="860">
        <f>'A11.SFR&amp; Attestation Site 3'!F60</f>
        <v>0</v>
      </c>
      <c r="AR4" s="860">
        <f>'A11.SFR&amp; Attestation Site 3'!F63</f>
        <v>0</v>
      </c>
      <c r="AS4" s="860">
        <f>'A11.SFR&amp; Attestation Site 3'!F64</f>
        <v>0</v>
      </c>
      <c r="AT4" s="860">
        <f>'A11.SFR&amp; Attestation Site 3'!F65</f>
        <v>0</v>
      </c>
      <c r="AU4" s="860">
        <f>'A11.SFR&amp; Attestation Site 3'!F66</f>
        <v>0</v>
      </c>
      <c r="AV4" s="860">
        <f>'A11.SFR&amp; Attestation Site 3'!F67</f>
        <v>0</v>
      </c>
      <c r="AW4" s="860">
        <f>'A11.SFR&amp; Attestation Site 3'!F68</f>
        <v>0</v>
      </c>
      <c r="AX4" s="860">
        <f>'A11.SFR&amp; Attestation Site 3'!F69</f>
        <v>0</v>
      </c>
      <c r="AY4" s="860">
        <f>'A11.SFR&amp; Attestation Site 3'!F70</f>
        <v>0</v>
      </c>
      <c r="AZ4" s="860">
        <f>'A11.SFR&amp; Attestation Site 3'!F71</f>
        <v>0</v>
      </c>
      <c r="BA4" s="860">
        <f>'A3. Peel Region Grants'!F$81+'A3. Peel Region Grants'!F$122</f>
        <v>0</v>
      </c>
      <c r="BB4" s="860">
        <f>'A11.SFR&amp; Attestation Site 3'!F79</f>
        <v>0</v>
      </c>
      <c r="BC4" s="860">
        <f>'A12. YND Reconciliation Site 3'!E15</f>
        <v>0</v>
      </c>
      <c r="BD4" s="860">
        <f>'A12. YND Reconciliation Site 3'!E16</f>
        <v>0</v>
      </c>
      <c r="BE4" s="860">
        <f>'A12. YND Reconciliation Site 3'!E20</f>
        <v>0</v>
      </c>
      <c r="BF4" s="860">
        <f>'A12. YND Reconciliation Site 3'!E21</f>
        <v>0</v>
      </c>
      <c r="BG4" s="860">
        <f>'A12. YND Reconciliation Site 3'!E22</f>
        <v>0</v>
      </c>
      <c r="BH4" s="860">
        <f>'A12. YND Reconciliation Site 3'!E24</f>
        <v>0</v>
      </c>
      <c r="BI4" s="860">
        <f>'A12. YND Reconciliation Site 3'!E25</f>
        <v>0</v>
      </c>
      <c r="BJ4" s="860">
        <f t="shared" si="0"/>
        <v>0</v>
      </c>
      <c r="BK4" s="860">
        <f>'A12. YND Reconciliation Site 3'!E33</f>
        <v>0</v>
      </c>
      <c r="BL4" s="905">
        <f>'A12. YND Reconciliation Site 3'!E40</f>
        <v>0</v>
      </c>
      <c r="BM4" s="905">
        <f>'A12. YND Reconciliation Site 3'!E47</f>
        <v>0</v>
      </c>
      <c r="BN4" s="905">
        <f>'A12. YND Reconciliation Site 3'!E54</f>
        <v>0</v>
      </c>
      <c r="BO4" s="905">
        <f>'A12. YND Reconciliation Site 3'!E65</f>
        <v>0</v>
      </c>
      <c r="BP4" s="905">
        <f>'A12. YND Reconciliation Site 3'!E60</f>
        <v>0</v>
      </c>
      <c r="BQ4" s="905">
        <f>'A12. YND Reconciliation Site 3'!E67</f>
        <v>0</v>
      </c>
      <c r="BR4" s="906" t="e">
        <f>'A12. YND Reconciliation Site 3'!E77</f>
        <v>#DIV/0!</v>
      </c>
      <c r="BS4" s="907">
        <f>'A12. YND Reconciliation Site 3'!E79</f>
        <v>0</v>
      </c>
      <c r="BT4" s="886"/>
    </row>
    <row r="5" spans="1:72" ht="15.5">
      <c r="A5" s="822">
        <f>'A11.SFR&amp; Attestation Site 4'!F13</f>
        <v>232</v>
      </c>
      <c r="B5" s="857">
        <f>'A11.SFR&amp; Attestation Site 4'!F8</f>
        <v>0</v>
      </c>
      <c r="C5" s="857">
        <f>'A11.SFR&amp; Attestation Site 4'!F9</f>
        <v>0</v>
      </c>
      <c r="D5" s="857">
        <f>'A11.SFR&amp; Attestation Site 4'!F10</f>
        <v>0</v>
      </c>
      <c r="E5" s="858">
        <f>'A11.SFR&amp; Attestation Site 4'!F11</f>
        <v>0</v>
      </c>
      <c r="F5" s="822">
        <f>'A11.SFR&amp; Attestation Site 4'!F14</f>
        <v>2025</v>
      </c>
      <c r="G5" s="857">
        <f>'A11.SFR&amp; Attestation Site 4'!C82</f>
        <v>0</v>
      </c>
      <c r="H5" s="857">
        <f>'A11.SFR&amp; Attestation Site 4'!F82</f>
        <v>0</v>
      </c>
      <c r="I5" s="857">
        <f>'A11.SFR&amp; Attestation Site 4'!I82</f>
        <v>0</v>
      </c>
      <c r="J5" s="857">
        <f>'A11.SFR&amp; Attestation Site 4'!C88</f>
        <v>0</v>
      </c>
      <c r="K5" s="858">
        <f>'A11.SFR&amp; Attestation Site 4'!F96</f>
        <v>0</v>
      </c>
      <c r="L5" s="859">
        <f>'A11.SFR&amp; Attestation Site 4'!F18</f>
        <v>0</v>
      </c>
      <c r="M5" s="859">
        <f>'A11.SFR&amp; Attestation Site 4'!F21</f>
        <v>0</v>
      </c>
      <c r="N5" s="859">
        <f>'A11.SFR&amp; Attestation Site 4'!F22</f>
        <v>0</v>
      </c>
      <c r="O5" s="859">
        <f>'A11.SFR&amp; Attestation Site 4'!F23</f>
        <v>0</v>
      </c>
      <c r="P5" s="859">
        <f>'A11.SFR&amp; Attestation Site 4'!F24</f>
        <v>0</v>
      </c>
      <c r="Q5" s="859">
        <f>'A11.SFR&amp; Attestation Site 4'!F25</f>
        <v>0</v>
      </c>
      <c r="R5" s="859">
        <f>'A11.SFR&amp; Attestation Site 4'!F26</f>
        <v>0</v>
      </c>
      <c r="S5" s="859">
        <f>'A11.SFR&amp; Attestation Site 4'!I21</f>
        <v>0</v>
      </c>
      <c r="T5" s="859">
        <f>'A11.SFR&amp; Attestation Site 4'!I22</f>
        <v>0</v>
      </c>
      <c r="U5" s="859">
        <f>'A11.SFR&amp; Attestation Site 4'!I23</f>
        <v>0</v>
      </c>
      <c r="V5" s="859">
        <f>'A11.SFR&amp; Attestation Site 4'!I24</f>
        <v>0</v>
      </c>
      <c r="W5" s="859">
        <f>'A11.SFR&amp; Attestation Site 4'!I25</f>
        <v>0</v>
      </c>
      <c r="X5" s="859">
        <f>'A11.SFR&amp; Attestation Site 4'!I26</f>
        <v>0</v>
      </c>
      <c r="Y5" s="860">
        <f>'A11.SFR&amp; Attestation Site 4'!F32</f>
        <v>0</v>
      </c>
      <c r="Z5" s="860">
        <f>'A11.SFR&amp; Attestation Site 4'!F33</f>
        <v>0</v>
      </c>
      <c r="AA5" s="860">
        <f>'A11.SFR&amp; Attestation Site 4'!F40</f>
        <v>0</v>
      </c>
      <c r="AB5" s="860">
        <f>'A11.SFR&amp; Attestation Site 4'!F41</f>
        <v>0</v>
      </c>
      <c r="AC5" s="860">
        <f>'A11.SFR&amp; Attestation Site 4'!F42</f>
        <v>0</v>
      </c>
      <c r="AD5" s="860">
        <f>'A11.SFR&amp; Attestation Site 4'!F43</f>
        <v>0</v>
      </c>
      <c r="AE5" s="860">
        <f>'A11.SFR&amp; Attestation Site 4'!F44</f>
        <v>0</v>
      </c>
      <c r="AF5" s="281">
        <f>'A11.SFR&amp; Attestation Site 4'!F45</f>
        <v>0</v>
      </c>
      <c r="AG5" s="860">
        <f>'A11.SFR&amp; Attestation Site 4'!F48</f>
        <v>0</v>
      </c>
      <c r="AH5" s="860">
        <f>'A11.SFR&amp; Attestation Site 4'!F49</f>
        <v>0</v>
      </c>
      <c r="AI5" s="860">
        <f>'A11.SFR&amp; Attestation Site 4'!F50</f>
        <v>0</v>
      </c>
      <c r="AJ5" s="860">
        <f>'A11.SFR&amp; Attestation Site 4'!F51</f>
        <v>0</v>
      </c>
      <c r="AK5" s="860">
        <f>'A11.SFR&amp; Attestation Site 4'!F52</f>
        <v>0</v>
      </c>
      <c r="AL5" s="281">
        <f>'A11.SFR&amp; Attestation Site 4'!F53</f>
        <v>0</v>
      </c>
      <c r="AM5" s="987">
        <f>'A11.SFR&amp; Attestation Site 4'!F56</f>
        <v>0</v>
      </c>
      <c r="AN5" s="860">
        <f>'A11.SFR&amp; Attestation Site 4'!F57</f>
        <v>0</v>
      </c>
      <c r="AO5" s="860">
        <f>'A11.SFR&amp; Attestation Site 4'!F58</f>
        <v>0</v>
      </c>
      <c r="AP5" s="860">
        <f>'A11.SFR&amp; Attestation Site 4'!F59</f>
        <v>0</v>
      </c>
      <c r="AQ5" s="860">
        <f>'A11.SFR&amp; Attestation Site 4'!F60</f>
        <v>0</v>
      </c>
      <c r="AR5" s="860">
        <f>'A11.SFR&amp; Attestation Site 4'!F63</f>
        <v>0</v>
      </c>
      <c r="AS5" s="860">
        <f>'A11.SFR&amp; Attestation Site 4'!F64</f>
        <v>0</v>
      </c>
      <c r="AT5" s="860">
        <f>'A11.SFR&amp; Attestation Site 4'!F65</f>
        <v>0</v>
      </c>
      <c r="AU5" s="860">
        <f>'A11.SFR&amp; Attestation Site 4'!F66</f>
        <v>0</v>
      </c>
      <c r="AV5" s="860">
        <f>'A11.SFR&amp; Attestation Site 4'!F67</f>
        <v>0</v>
      </c>
      <c r="AW5" s="860">
        <f>'A11.SFR&amp; Attestation Site 4'!F68</f>
        <v>0</v>
      </c>
      <c r="AX5" s="860">
        <f>'A11.SFR&amp; Attestation Site 4'!F69</f>
        <v>0</v>
      </c>
      <c r="AY5" s="860">
        <f>'A11.SFR&amp; Attestation Site 4'!F70</f>
        <v>0</v>
      </c>
      <c r="AZ5" s="860">
        <f>'A11.SFR&amp; Attestation Site 4'!F71</f>
        <v>0</v>
      </c>
      <c r="BA5" s="860">
        <f>'A3. Peel Region Grants'!G$81+'A3. Peel Region Grants'!G$122</f>
        <v>0</v>
      </c>
      <c r="BB5" s="860">
        <f>'A11.SFR&amp; Attestation Site 4'!F79</f>
        <v>0</v>
      </c>
      <c r="BC5" s="860">
        <f>'A12. YND Reconciliation Site 4'!E15</f>
        <v>0</v>
      </c>
      <c r="BD5" s="860">
        <f>'A12. YND Reconciliation Site 4'!E16</f>
        <v>0</v>
      </c>
      <c r="BE5" s="860">
        <f>'A12. YND Reconciliation Site 4'!E20</f>
        <v>0</v>
      </c>
      <c r="BF5" s="860">
        <f>'A12. YND Reconciliation Site 4'!E21</f>
        <v>0</v>
      </c>
      <c r="BG5" s="860">
        <f>'A12. YND Reconciliation Site 4'!E22</f>
        <v>0</v>
      </c>
      <c r="BH5" s="860">
        <f>'A12. YND Reconciliation Site 4'!E24</f>
        <v>0</v>
      </c>
      <c r="BI5" s="860">
        <f>'A12. YND Reconciliation Site 4'!E25</f>
        <v>0</v>
      </c>
      <c r="BJ5" s="860">
        <f t="shared" si="0"/>
        <v>0</v>
      </c>
      <c r="BK5" s="860">
        <f>'A12. YND Reconciliation Site 4'!E33</f>
        <v>0</v>
      </c>
      <c r="BL5" s="905">
        <f>'A12. YND Reconciliation Site 4'!E40</f>
        <v>0</v>
      </c>
      <c r="BM5" s="905">
        <f>'A12. YND Reconciliation Site 4'!E47</f>
        <v>0</v>
      </c>
      <c r="BN5" s="905">
        <f>'A12. YND Reconciliation Site 4'!E54</f>
        <v>0</v>
      </c>
      <c r="BO5" s="905">
        <f>'A12. YND Reconciliation Site 4'!E65</f>
        <v>0</v>
      </c>
      <c r="BP5" s="905">
        <f>'A12. YND Reconciliation Site 4'!E60</f>
        <v>0</v>
      </c>
      <c r="BQ5" s="905">
        <f>'A12. YND Reconciliation Site 4'!E67</f>
        <v>0</v>
      </c>
      <c r="BR5" s="906" t="e">
        <f>'A12. YND Reconciliation Site 4'!E77</f>
        <v>#DIV/0!</v>
      </c>
      <c r="BS5" s="907">
        <f>'A12. YND Reconciliation Site 4'!E79</f>
        <v>0</v>
      </c>
      <c r="BT5" s="886"/>
    </row>
    <row r="6" spans="1:72" ht="15.5">
      <c r="A6" s="822">
        <f>'A11.SFR&amp; Attestation Site 5'!F13</f>
        <v>232</v>
      </c>
      <c r="B6" s="857">
        <f>'A11.SFR&amp; Attestation Site 5'!F8</f>
        <v>0</v>
      </c>
      <c r="C6" s="857">
        <f>'A11.SFR&amp; Attestation Site 5'!F9</f>
        <v>0</v>
      </c>
      <c r="D6" s="857">
        <f>'A11.SFR&amp; Attestation Site 5'!F10</f>
        <v>0</v>
      </c>
      <c r="E6" s="858">
        <f>'A11.SFR&amp; Attestation Site 5'!F11</f>
        <v>0</v>
      </c>
      <c r="F6" s="822">
        <f>'A11.SFR&amp; Attestation Site 5'!F14</f>
        <v>2025</v>
      </c>
      <c r="G6" s="857">
        <f>'A11.SFR&amp; Attestation Site 5'!C82</f>
        <v>0</v>
      </c>
      <c r="H6" s="857">
        <f>'A11.SFR&amp; Attestation Site 5'!F82</f>
        <v>0</v>
      </c>
      <c r="I6" s="857">
        <f>'A11.SFR&amp; Attestation Site 5'!I82</f>
        <v>0</v>
      </c>
      <c r="J6" s="857">
        <f>'A11.SFR&amp; Attestation Site 5'!C88</f>
        <v>0</v>
      </c>
      <c r="K6" s="858">
        <f>'A11.SFR&amp; Attestation Site 5'!F96</f>
        <v>0</v>
      </c>
      <c r="L6" s="859">
        <f>'A11.SFR&amp; Attestation Site 5'!F18</f>
        <v>0</v>
      </c>
      <c r="M6" s="859">
        <f>'A11.SFR&amp; Attestation Site 5'!F21</f>
        <v>0</v>
      </c>
      <c r="N6" s="859">
        <f>'A11.SFR&amp; Attestation Site 5'!F22</f>
        <v>0</v>
      </c>
      <c r="O6" s="859">
        <f>'A11.SFR&amp; Attestation Site 5'!F23</f>
        <v>0</v>
      </c>
      <c r="P6" s="859">
        <f>'A11.SFR&amp; Attestation Site 5'!F24</f>
        <v>0</v>
      </c>
      <c r="Q6" s="859">
        <f>'A11.SFR&amp; Attestation Site 5'!F25</f>
        <v>0</v>
      </c>
      <c r="R6" s="859">
        <f>'A11.SFR&amp; Attestation Site 5'!F26</f>
        <v>0</v>
      </c>
      <c r="S6" s="859">
        <f>'A11.SFR&amp; Attestation Site 5'!I21</f>
        <v>0</v>
      </c>
      <c r="T6" s="859">
        <f>'A11.SFR&amp; Attestation Site 5'!I22</f>
        <v>0</v>
      </c>
      <c r="U6" s="859">
        <f>'A11.SFR&amp; Attestation Site 5'!I23</f>
        <v>0</v>
      </c>
      <c r="V6" s="859">
        <f>'A11.SFR&amp; Attestation Site 5'!I24</f>
        <v>0</v>
      </c>
      <c r="W6" s="859">
        <f>'A11.SFR&amp; Attestation Site 5'!I25</f>
        <v>0</v>
      </c>
      <c r="X6" s="859">
        <f>'A11.SFR&amp; Attestation Site 5'!I26</f>
        <v>0</v>
      </c>
      <c r="Y6" s="860">
        <f>'A11.SFR&amp; Attestation Site 5'!F32</f>
        <v>0</v>
      </c>
      <c r="Z6" s="860">
        <f>'A11.SFR&amp; Attestation Site 5'!F33</f>
        <v>0</v>
      </c>
      <c r="AA6" s="860">
        <f>'A11.SFR&amp; Attestation Site 5'!F40</f>
        <v>0</v>
      </c>
      <c r="AB6" s="860">
        <f>'A11.SFR&amp; Attestation Site 5'!F41</f>
        <v>0</v>
      </c>
      <c r="AC6" s="860">
        <f>'A11.SFR&amp; Attestation Site 5'!F42</f>
        <v>0</v>
      </c>
      <c r="AD6" s="860">
        <f>'A11.SFR&amp; Attestation Site 5'!F43</f>
        <v>0</v>
      </c>
      <c r="AE6" s="860">
        <f>'A11.SFR&amp; Attestation Site 5'!F44</f>
        <v>0</v>
      </c>
      <c r="AF6" s="281">
        <f>'A11.SFR&amp; Attestation Site 5'!F45</f>
        <v>0</v>
      </c>
      <c r="AG6" s="860">
        <f>'A11.SFR&amp; Attestation Site 5'!F48</f>
        <v>0</v>
      </c>
      <c r="AH6" s="860">
        <f>'A11.SFR&amp; Attestation Site 5'!F49</f>
        <v>0</v>
      </c>
      <c r="AI6" s="860">
        <f>'A11.SFR&amp; Attestation Site 5'!F50</f>
        <v>0</v>
      </c>
      <c r="AJ6" s="860">
        <f>'A11.SFR&amp; Attestation Site 5'!F51</f>
        <v>0</v>
      </c>
      <c r="AK6" s="860">
        <f>'A11.SFR&amp; Attestation Site 5'!F52</f>
        <v>0</v>
      </c>
      <c r="AL6" s="281">
        <f>'A11.SFR&amp; Attestation Site 5'!F53</f>
        <v>0</v>
      </c>
      <c r="AM6" s="987">
        <f>'A11.SFR&amp; Attestation Site 5'!F56</f>
        <v>0</v>
      </c>
      <c r="AN6" s="860">
        <f>'A11.SFR&amp; Attestation Site 5'!F57</f>
        <v>0</v>
      </c>
      <c r="AO6" s="860">
        <f>'A11.SFR&amp; Attestation Site 5'!F58</f>
        <v>0</v>
      </c>
      <c r="AP6" s="860">
        <f>'A11.SFR&amp; Attestation Site 5'!F59</f>
        <v>0</v>
      </c>
      <c r="AQ6" s="860">
        <f>'A11.SFR&amp; Attestation Site 5'!F60</f>
        <v>0</v>
      </c>
      <c r="AR6" s="860">
        <f>'A11.SFR&amp; Attestation Site 5'!F63</f>
        <v>0</v>
      </c>
      <c r="AS6" s="860">
        <f>'A11.SFR&amp; Attestation Site 5'!F64</f>
        <v>0</v>
      </c>
      <c r="AT6" s="860">
        <f>'A11.SFR&amp; Attestation Site 5'!F65</f>
        <v>0</v>
      </c>
      <c r="AU6" s="860">
        <f>'A11.SFR&amp; Attestation Site 5'!F66</f>
        <v>0</v>
      </c>
      <c r="AV6" s="860">
        <f>'A11.SFR&amp; Attestation Site 5'!F67</f>
        <v>0</v>
      </c>
      <c r="AW6" s="860">
        <f>'A11.SFR&amp; Attestation Site 5'!F68</f>
        <v>0</v>
      </c>
      <c r="AX6" s="860">
        <f>'A11.SFR&amp; Attestation Site 5'!F69</f>
        <v>0</v>
      </c>
      <c r="AY6" s="860">
        <f>'A11.SFR&amp; Attestation Site 5'!F70</f>
        <v>0</v>
      </c>
      <c r="AZ6" s="860">
        <f>'A11.SFR&amp; Attestation Site 5'!F71</f>
        <v>0</v>
      </c>
      <c r="BA6" s="860">
        <f>'A3. Peel Region Grants'!H$81+'A3. Peel Region Grants'!H$122</f>
        <v>0</v>
      </c>
      <c r="BB6" s="860">
        <f>'A11.SFR&amp; Attestation Site 5'!F79</f>
        <v>0</v>
      </c>
      <c r="BC6" s="860">
        <f>'A12. YND Reconciliation Site 5'!E15</f>
        <v>0</v>
      </c>
      <c r="BD6" s="860">
        <f>'A12. YND Reconciliation Site 5'!E16</f>
        <v>0</v>
      </c>
      <c r="BE6" s="860">
        <f>'A12. YND Reconciliation Site 5'!E20</f>
        <v>0</v>
      </c>
      <c r="BF6" s="860">
        <f>'A12. YND Reconciliation Site 5'!E21</f>
        <v>0</v>
      </c>
      <c r="BG6" s="860">
        <f>'A12. YND Reconciliation Site 5'!E22</f>
        <v>0</v>
      </c>
      <c r="BH6" s="860">
        <f>'A12. YND Reconciliation Site 5'!E24</f>
        <v>0</v>
      </c>
      <c r="BI6" s="860">
        <f>'A12. YND Reconciliation Site 5'!E25</f>
        <v>0</v>
      </c>
      <c r="BJ6" s="860">
        <f t="shared" si="0"/>
        <v>0</v>
      </c>
      <c r="BK6" s="860">
        <f>'A12. YND Reconciliation Site 5'!E33</f>
        <v>0</v>
      </c>
      <c r="BL6" s="905">
        <f>'A12. YND Reconciliation Site 5'!E40</f>
        <v>0</v>
      </c>
      <c r="BM6" s="905">
        <f>'A12. YND Reconciliation Site 5'!E47</f>
        <v>0</v>
      </c>
      <c r="BN6" s="905">
        <f>'A12. YND Reconciliation Site 5'!E54</f>
        <v>0</v>
      </c>
      <c r="BO6" s="905">
        <f>'A12. YND Reconciliation Site 5'!E65</f>
        <v>0</v>
      </c>
      <c r="BP6" s="905">
        <f>'A12. YND Reconciliation Site 5'!E60</f>
        <v>0</v>
      </c>
      <c r="BQ6" s="905">
        <f>'A12. YND Reconciliation Site 5'!E67</f>
        <v>0</v>
      </c>
      <c r="BR6" s="906" t="e">
        <f>'A12. YND Reconciliation Site 5'!E77</f>
        <v>#DIV/0!</v>
      </c>
      <c r="BS6" s="907">
        <f>'A12. YND Reconciliation Site 5'!E79</f>
        <v>0</v>
      </c>
      <c r="BT6" s="886"/>
    </row>
    <row r="9" spans="1:72">
      <c r="A9" s="822">
        <f>'A11.Licensee''s SFR&amp; Attestation'!F13</f>
        <v>232</v>
      </c>
      <c r="C9">
        <f>'A11.Licensee''s SFR&amp; Attestation'!F9</f>
        <v>0</v>
      </c>
      <c r="D9" s="857">
        <f>'A11.Licensee''s SFR&amp; Attestation'!F10</f>
        <v>0</v>
      </c>
      <c r="E9">
        <f>'A11.Licensee''s SFR&amp; Attestation'!F11</f>
        <v>0</v>
      </c>
      <c r="F9">
        <f>'A11.Licensee''s SFR&amp; Attestation'!F14</f>
        <v>2025</v>
      </c>
      <c r="G9">
        <f>'A11.Licensee''s SFR&amp; Attestation'!C82</f>
        <v>0</v>
      </c>
      <c r="H9">
        <f>'A11.Licensee''s SFR&amp; Attestation'!F82</f>
        <v>0</v>
      </c>
      <c r="I9">
        <f>'A11.Licensee''s SFR&amp; Attestation'!I82</f>
        <v>0</v>
      </c>
      <c r="J9">
        <f>'A11.Licensee''s SFR&amp; Attestation'!C88</f>
        <v>0</v>
      </c>
      <c r="K9">
        <f>'A11.Licensee''s SFR&amp; Attestation'!F96</f>
        <v>0</v>
      </c>
      <c r="L9" s="822">
        <f>'A11.Licensee''s SFR&amp; Attestation'!F18</f>
        <v>0</v>
      </c>
      <c r="M9" s="822">
        <f>'A11.Licensee''s SFR&amp; Attestation'!F21</f>
        <v>2610</v>
      </c>
      <c r="N9" s="822">
        <f>'A11.Licensee''s SFR&amp; Attestation'!F22</f>
        <v>0</v>
      </c>
      <c r="O9" s="822">
        <f>'A11.Licensee''s SFR&amp; Attestation'!F23</f>
        <v>0</v>
      </c>
      <c r="P9" s="822">
        <f>'A11.Licensee''s SFR&amp; Attestation'!F24</f>
        <v>0</v>
      </c>
      <c r="Q9" s="822">
        <f>'A11.Licensee''s SFR&amp; Attestation'!F25</f>
        <v>0</v>
      </c>
      <c r="R9" s="822">
        <f>'A11.Licensee''s SFR&amp; Attestation'!F26</f>
        <v>3915</v>
      </c>
      <c r="S9" s="822">
        <f>'A11.Licensee''s SFR&amp; Attestation'!I21</f>
        <v>2610</v>
      </c>
      <c r="T9" s="822">
        <f>'A11.Licensee''s SFR&amp; Attestation'!I22</f>
        <v>0</v>
      </c>
      <c r="U9" s="822">
        <f>'A11.Licensee''s SFR&amp; Attestation'!I23</f>
        <v>0</v>
      </c>
      <c r="V9" s="822">
        <f>'A11.Licensee''s SFR&amp; Attestation'!I24</f>
        <v>0</v>
      </c>
      <c r="W9" s="822">
        <f>'A11.Licensee''s SFR&amp; Attestation'!I25</f>
        <v>0</v>
      </c>
      <c r="X9" s="822">
        <f>'A11.Licensee''s SFR&amp; Attestation'!I26</f>
        <v>3915</v>
      </c>
      <c r="Y9" s="57">
        <f>'A11.Licensee''s SFR&amp; Attestation'!F32</f>
        <v>0</v>
      </c>
      <c r="Z9" s="57">
        <f>'A11.Licensee''s SFR&amp; Attestation'!F33</f>
        <v>0</v>
      </c>
      <c r="AA9" s="57">
        <f>'A11.Licensee''s SFR&amp; Attestation'!F40</f>
        <v>0</v>
      </c>
      <c r="AB9" s="57">
        <f>'A11.Licensee''s SFR&amp; Attestation'!F41</f>
        <v>0</v>
      </c>
      <c r="AC9" s="57">
        <f>'A11.Licensee''s SFR&amp; Attestation'!F42</f>
        <v>0</v>
      </c>
      <c r="AD9" s="57">
        <f>'A11.Licensee''s SFR&amp; Attestation'!F43</f>
        <v>0</v>
      </c>
      <c r="AE9" s="57">
        <f>'A11.Licensee''s SFR&amp; Attestation'!F44</f>
        <v>0</v>
      </c>
      <c r="AF9" s="57">
        <f>'A11.Licensee''s SFR&amp; Attestation'!F45</f>
        <v>0</v>
      </c>
      <c r="AG9" s="57">
        <f>'A11.Licensee''s SFR&amp; Attestation'!F48</f>
        <v>0</v>
      </c>
      <c r="AH9" s="57">
        <f>'A11.Licensee''s SFR&amp; Attestation'!F49</f>
        <v>0</v>
      </c>
      <c r="AI9" s="57">
        <f>'A11.Licensee''s SFR&amp; Attestation'!F50</f>
        <v>0</v>
      </c>
      <c r="AJ9" s="57">
        <f>'A11.Licensee''s SFR&amp; Attestation'!F51</f>
        <v>0</v>
      </c>
      <c r="AK9" s="57">
        <f>'A11.Licensee''s SFR&amp; Attestation'!F52</f>
        <v>0</v>
      </c>
      <c r="AL9" s="57">
        <f>'A11.Licensee''s SFR&amp; Attestation'!F53</f>
        <v>0</v>
      </c>
      <c r="AM9" s="57">
        <f>'A11.Licensee''s SFR&amp; Attestation'!F56</f>
        <v>0</v>
      </c>
      <c r="AN9" s="57">
        <f>'A11.Licensee''s SFR&amp; Attestation'!F57</f>
        <v>0</v>
      </c>
      <c r="AO9" s="57">
        <f>'A11.Licensee''s SFR&amp; Attestation'!F58</f>
        <v>0</v>
      </c>
      <c r="AP9" s="57">
        <f>'A11.Licensee''s SFR&amp; Attestation'!F59</f>
        <v>0</v>
      </c>
      <c r="AQ9" s="57">
        <f>'A11.Licensee''s SFR&amp; Attestation'!F60</f>
        <v>0</v>
      </c>
      <c r="AR9" s="57">
        <f>'A11.Licensee''s SFR&amp; Attestation'!F63</f>
        <v>0</v>
      </c>
      <c r="AS9" s="57">
        <f>'A11.Licensee''s SFR&amp; Attestation'!F64</f>
        <v>0</v>
      </c>
      <c r="AT9" s="57">
        <f>'A11.Licensee''s SFR&amp; Attestation'!F65</f>
        <v>0</v>
      </c>
      <c r="AU9" s="57">
        <f>'A11.Licensee''s SFR&amp; Attestation'!F66</f>
        <v>0</v>
      </c>
      <c r="AV9" s="57">
        <f>'A11.Licensee''s SFR&amp; Attestation'!F67</f>
        <v>0</v>
      </c>
      <c r="AW9" s="57">
        <f>'A11.Licensee''s SFR&amp; Attestation'!F68</f>
        <v>0</v>
      </c>
      <c r="AX9" s="57">
        <f>'A11.Licensee''s SFR&amp; Attestation'!F69</f>
        <v>0</v>
      </c>
      <c r="AY9" s="57">
        <f>'A11.Licensee''s SFR&amp; Attestation'!F70</f>
        <v>0</v>
      </c>
      <c r="AZ9" s="57">
        <f>'A11.Licensee''s SFR&amp; Attestation'!F71</f>
        <v>0</v>
      </c>
      <c r="BA9" s="57">
        <f>'A11.Licensee''s SFR&amp; Attestation'!F75</f>
        <v>0</v>
      </c>
      <c r="BB9" s="57">
        <f>'A11.Licensee''s SFR&amp; Attestation'!F79</f>
        <v>0</v>
      </c>
      <c r="BC9" s="57">
        <f>'A12. YND Reconciliation'!E15</f>
        <v>0</v>
      </c>
      <c r="BD9" s="57">
        <f>'A12. YND Reconciliation'!E16</f>
        <v>0</v>
      </c>
      <c r="BE9">
        <f>'A12. YND Reconciliation'!BenchmarkAllocation</f>
        <v>0</v>
      </c>
      <c r="BF9" s="57">
        <f>'A12. YND Reconciliation'!E21</f>
        <v>0</v>
      </c>
      <c r="BG9" s="57">
        <f>'A12. YND Reconciliation'!E22</f>
        <v>0</v>
      </c>
      <c r="BH9" s="57">
        <f>'A12. YND Reconciliation'!E24</f>
        <v>0</v>
      </c>
      <c r="BI9" s="57">
        <f>'A12. YND Reconciliation'!E25</f>
        <v>0</v>
      </c>
      <c r="BJ9" s="57">
        <f>'A12. YND Reconciliation'!E27</f>
        <v>0</v>
      </c>
      <c r="BK9">
        <f>'A12. YND Reconciliation'!ActualProgramCosts</f>
        <v>0</v>
      </c>
      <c r="BL9" s="57">
        <f>'A12. YND Reconciliation'!E40</f>
        <v>0</v>
      </c>
      <c r="BM9" s="57">
        <f>'A12. YND Reconciliation'!E47</f>
        <v>0</v>
      </c>
      <c r="BN9" s="57">
        <f>'A12. YND Reconciliation'!E54</f>
        <v>0</v>
      </c>
      <c r="BO9" s="57">
        <f>'A12. YND Reconciliation'!E65</f>
        <v>0</v>
      </c>
      <c r="BP9" s="57">
        <f>'A12. YND Reconciliation'!E60</f>
        <v>0</v>
      </c>
      <c r="BQ9" s="57">
        <f>'A12. YND Reconciliation'!E67</f>
        <v>0</v>
      </c>
      <c r="BR9" s="991" t="e">
        <f>'A12. YND Reconciliation'!E77</f>
        <v>#DIV/0!</v>
      </c>
      <c r="BS9">
        <f>'A12. YND Reconciliation'!E79</f>
        <v>0</v>
      </c>
      <c r="BT9" s="57">
        <f>'A3. Peel Region Grants'!I76</f>
        <v>0</v>
      </c>
    </row>
    <row r="10" spans="1:72">
      <c r="BM10" s="7"/>
    </row>
    <row r="11" spans="1:72">
      <c r="BQ11" s="7"/>
    </row>
  </sheetData>
  <sheetProtection algorithmName="SHA-512" hashValue="1/QxVLIOarnOWk2/K0y8jTYAVAhFVDwzA4vpMhHJmVmIc9uk2ZIAj9giWS5y15INTJ5LbJz/AdjgNbyPpK57hQ==" saltValue="MDtQhYrGhAG3IBIW0g049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E51B8-C857-45C3-8BC0-E4B88E356F5F}">
  <sheetPr>
    <tabColor theme="9" tint="0.59999389629810485"/>
  </sheetPr>
  <dimension ref="A1:N201"/>
  <sheetViews>
    <sheetView showGridLines="0" zoomScale="85" zoomScaleNormal="85" workbookViewId="0">
      <selection activeCell="D37" sqref="D37"/>
    </sheetView>
  </sheetViews>
  <sheetFormatPr defaultRowHeight="14.5" outlineLevelRow="1"/>
  <cols>
    <col min="1" max="1" width="3.26953125" customWidth="1"/>
    <col min="2" max="2" width="53" customWidth="1"/>
    <col min="3" max="4" width="24.453125" customWidth="1"/>
    <col min="5" max="5" width="22.453125" customWidth="1"/>
    <col min="6" max="6" width="26.1796875" customWidth="1"/>
    <col min="7" max="7" width="20.7265625" customWidth="1"/>
    <col min="8" max="8" width="23.7265625" customWidth="1"/>
    <col min="9" max="9" width="23.90625" customWidth="1"/>
    <col min="10" max="10" width="11.54296875" bestFit="1" customWidth="1"/>
    <col min="11" max="11" width="12.26953125" customWidth="1"/>
    <col min="12" max="12" width="10.453125" customWidth="1"/>
    <col min="13" max="13" width="10.54296875" bestFit="1" customWidth="1"/>
  </cols>
  <sheetData>
    <row r="1" spans="2:8" s="14" customFormat="1" ht="23.5">
      <c r="B1" s="1091" t="str">
        <f>IF('A1. Identification'!D7=0, "2025 FAIR, CWELCC and OTEF Reconciliation for Multi Site Operators",'A1. Identification'!D7)</f>
        <v>2025 FAIR, CWELCC and OTEF Reconciliation for Multi Site Operators</v>
      </c>
      <c r="C1" s="1091"/>
      <c r="D1" s="1091"/>
      <c r="E1" s="1091"/>
      <c r="F1" s="1091"/>
      <c r="G1" s="109" t="s">
        <v>109</v>
      </c>
      <c r="H1" s="110" t="str">
        <f>IF('A1. Identification'!$D$13=0, " ",'A1. Identification'!$D$13)</f>
        <v xml:space="preserve"> </v>
      </c>
    </row>
    <row r="2" spans="2:8" s="14" customFormat="1" ht="22" customHeight="1">
      <c r="B2" s="1091" t="s">
        <v>208</v>
      </c>
      <c r="C2" s="1091"/>
      <c r="D2" s="1091"/>
      <c r="E2" s="1091"/>
      <c r="F2" s="1091"/>
      <c r="G2" s="887"/>
      <c r="H2" s="888"/>
    </row>
    <row r="5" spans="2:8" ht="21">
      <c r="B5" s="1156" t="s">
        <v>322</v>
      </c>
      <c r="C5" s="1156"/>
      <c r="D5" s="1156"/>
      <c r="E5" s="1156"/>
      <c r="F5" s="1156"/>
    </row>
    <row r="6" spans="2:8" ht="19.5" customHeight="1" thickBot="1">
      <c r="B6" s="86"/>
    </row>
    <row r="7" spans="2:8" ht="15.75" customHeight="1">
      <c r="B7" s="1150" t="s">
        <v>826</v>
      </c>
      <c r="C7" s="1151"/>
      <c r="D7" s="1151"/>
      <c r="E7" s="1151"/>
      <c r="F7" s="1152"/>
    </row>
    <row r="8" spans="2:8" ht="15.75" customHeight="1">
      <c r="B8" s="1157"/>
      <c r="C8" s="1127"/>
      <c r="D8" s="1127"/>
      <c r="E8" s="1127"/>
      <c r="F8" s="1158"/>
    </row>
    <row r="9" spans="2:8" ht="51.75" customHeight="1" thickBot="1">
      <c r="B9" s="1153"/>
      <c r="C9" s="1154"/>
      <c r="D9" s="1154"/>
      <c r="E9" s="1154"/>
      <c r="F9" s="1155"/>
    </row>
    <row r="10" spans="2:8" ht="15.75" customHeight="1" thickBot="1">
      <c r="B10" s="287"/>
      <c r="C10" s="287"/>
      <c r="D10" s="287"/>
      <c r="E10" s="287"/>
      <c r="F10" s="287"/>
    </row>
    <row r="11" spans="2:8" ht="19" customHeight="1">
      <c r="B11" s="1150" t="s">
        <v>831</v>
      </c>
      <c r="C11" s="1151"/>
      <c r="D11" s="1151"/>
      <c r="E11" s="1151"/>
      <c r="F11" s="1152"/>
    </row>
    <row r="12" spans="2:8" ht="15" customHeight="1">
      <c r="B12" s="1157"/>
      <c r="C12" s="1127"/>
      <c r="D12" s="1127"/>
      <c r="E12" s="1127"/>
      <c r="F12" s="1158"/>
    </row>
    <row r="13" spans="2:8" ht="24.75" customHeight="1" thickBot="1">
      <c r="B13" s="1153"/>
      <c r="C13" s="1154"/>
      <c r="D13" s="1154"/>
      <c r="E13" s="1154"/>
      <c r="F13" s="1155"/>
    </row>
    <row r="14" spans="2:8" ht="16" thickBot="1">
      <c r="B14" s="287"/>
      <c r="C14" s="287"/>
      <c r="D14" s="287"/>
      <c r="E14" s="287"/>
      <c r="F14" s="287"/>
    </row>
    <row r="15" spans="2:8" ht="15" customHeight="1">
      <c r="B15" s="1150" t="s">
        <v>908</v>
      </c>
      <c r="C15" s="1151"/>
      <c r="D15" s="1151"/>
      <c r="E15" s="1151"/>
      <c r="F15" s="1152"/>
    </row>
    <row r="16" spans="2:8">
      <c r="B16" s="1157"/>
      <c r="C16" s="1127"/>
      <c r="D16" s="1127"/>
      <c r="E16" s="1127"/>
      <c r="F16" s="1158"/>
    </row>
    <row r="17" spans="2:13" ht="33" customHeight="1" thickBot="1">
      <c r="B17" s="1153"/>
      <c r="C17" s="1154"/>
      <c r="D17" s="1154"/>
      <c r="E17" s="1154"/>
      <c r="F17" s="1155"/>
    </row>
    <row r="18" spans="2:13" ht="16" thickBot="1">
      <c r="B18" s="86"/>
    </row>
    <row r="19" spans="2:13" ht="18.75" customHeight="1">
      <c r="B19" s="1150" t="s">
        <v>827</v>
      </c>
      <c r="C19" s="1151"/>
      <c r="D19" s="1151"/>
      <c r="E19" s="1151"/>
      <c r="F19" s="1152"/>
    </row>
    <row r="20" spans="2:13" ht="41.25" customHeight="1" thickBot="1">
      <c r="B20" s="1153"/>
      <c r="C20" s="1154"/>
      <c r="D20" s="1154"/>
      <c r="E20" s="1154"/>
      <c r="F20" s="1155"/>
    </row>
    <row r="21" spans="2:13" ht="15.75" customHeight="1" thickBot="1">
      <c r="B21" s="287"/>
      <c r="C21" s="287"/>
      <c r="D21" s="287"/>
      <c r="E21" s="287"/>
      <c r="F21" s="287"/>
      <c r="K21" s="89"/>
    </row>
    <row r="22" spans="2:13" ht="18.75" customHeight="1">
      <c r="B22" s="1150" t="s">
        <v>909</v>
      </c>
      <c r="C22" s="1151"/>
      <c r="D22" s="1151"/>
      <c r="E22" s="1151"/>
      <c r="F22" s="1152"/>
      <c r="K22" s="89"/>
    </row>
    <row r="23" spans="2:13" ht="24" customHeight="1" thickBot="1">
      <c r="B23" s="1153"/>
      <c r="C23" s="1154"/>
      <c r="D23" s="1154"/>
      <c r="E23" s="1154"/>
      <c r="F23" s="1155"/>
      <c r="K23" s="89"/>
    </row>
    <row r="24" spans="2:13" ht="24" customHeight="1" thickBot="1">
      <c r="B24" s="333"/>
      <c r="C24" s="333"/>
      <c r="D24" s="333"/>
      <c r="E24" s="333"/>
      <c r="F24" s="333"/>
      <c r="K24" s="89"/>
    </row>
    <row r="25" spans="2:13">
      <c r="B25" s="1150" t="s">
        <v>828</v>
      </c>
      <c r="C25" s="1151"/>
      <c r="D25" s="1151"/>
      <c r="E25" s="1151"/>
      <c r="F25" s="1152"/>
      <c r="K25" s="89"/>
    </row>
    <row r="26" spans="2:13" ht="15" thickBot="1">
      <c r="B26" s="1153"/>
      <c r="C26" s="1154"/>
      <c r="D26" s="1154"/>
      <c r="E26" s="1154"/>
      <c r="F26" s="1155"/>
    </row>
    <row r="27" spans="2:13" ht="15.5">
      <c r="B27" s="287"/>
      <c r="C27" s="287"/>
      <c r="D27" s="287"/>
      <c r="E27" s="287"/>
      <c r="F27" s="287"/>
    </row>
    <row r="28" spans="2:13" ht="21">
      <c r="B28" s="1159" t="s">
        <v>815</v>
      </c>
      <c r="C28" s="1159"/>
      <c r="D28" s="1159"/>
      <c r="E28" s="1159"/>
      <c r="F28" s="1159"/>
      <c r="M28" s="352"/>
    </row>
    <row r="29" spans="2:13" ht="15.5">
      <c r="B29" s="287"/>
      <c r="C29" s="287"/>
      <c r="D29" s="287"/>
      <c r="E29" s="287"/>
      <c r="F29" s="287"/>
    </row>
    <row r="30" spans="2:13" ht="23.5">
      <c r="B30" s="97" t="s">
        <v>375</v>
      </c>
      <c r="C30" s="94"/>
      <c r="D30" s="94"/>
      <c r="E30" s="94"/>
      <c r="F30" s="94"/>
      <c r="K30" s="576"/>
    </row>
    <row r="31" spans="2:13" ht="15.5">
      <c r="B31" s="95"/>
      <c r="C31" s="95"/>
      <c r="D31" s="95"/>
      <c r="E31" s="95"/>
      <c r="F31" s="95"/>
    </row>
    <row r="32" spans="2:13" ht="15" customHeight="1" outlineLevel="1">
      <c r="B32" s="86" t="s">
        <v>480</v>
      </c>
      <c r="C32" s="353"/>
      <c r="D32" s="353"/>
      <c r="E32" s="353"/>
      <c r="F32" s="353"/>
    </row>
    <row r="33" spans="1:10" ht="15" customHeight="1" outlineLevel="1">
      <c r="B33" s="86" t="s">
        <v>420</v>
      </c>
      <c r="C33" s="353"/>
      <c r="D33" s="353"/>
      <c r="E33" s="353"/>
      <c r="F33" s="353"/>
    </row>
    <row r="34" spans="1:10" ht="15" customHeight="1" outlineLevel="1" thickBot="1">
      <c r="B34" s="1127" t="str">
        <f>"For parent fees 0-6 split use actual enrollment for 0-6, for Lunch and refreshments providers can use the proration from tab 2 for Operations  " &amp; TEXT('A2.Allocation &amp; Operating Plan'!C53,"0.00%") &amp; " for 0-6 split and for Program staffing can use " &amp; TEXT('A2.Allocation &amp; Operating Plan'!C50,"0.00%") &amp; " for 0-6 split."</f>
        <v>For parent fees 0-6 split use actual enrollment for 0-6, for Lunch and refreshments providers can use the proration from tab 2 for Operations  89.19% for 0-6 split and for Program staffing can use 89.19% for 0-6 split.</v>
      </c>
      <c r="C34" s="1127"/>
      <c r="D34" s="1127"/>
      <c r="E34" s="1127"/>
      <c r="F34" s="1127"/>
    </row>
    <row r="35" spans="1:10" ht="40.5" customHeight="1" outlineLevel="1">
      <c r="B35" s="1135"/>
      <c r="C35" s="1135"/>
      <c r="D35" s="1135"/>
      <c r="E35" s="1135"/>
      <c r="F35" s="1135"/>
      <c r="G35" s="1139" t="s">
        <v>456</v>
      </c>
      <c r="H35" s="1140"/>
      <c r="I35" s="1141"/>
    </row>
    <row r="36" spans="1:10" ht="55.5" outlineLevel="1">
      <c r="B36" s="354" t="s">
        <v>428</v>
      </c>
      <c r="C36" s="355" t="s">
        <v>449</v>
      </c>
      <c r="D36" s="354" t="s">
        <v>224</v>
      </c>
      <c r="E36" s="355" t="s">
        <v>432</v>
      </c>
      <c r="F36" s="356" t="s">
        <v>378</v>
      </c>
      <c r="G36" s="357" t="s">
        <v>381</v>
      </c>
      <c r="H36" s="354" t="s">
        <v>382</v>
      </c>
      <c r="I36" s="358" t="s">
        <v>471</v>
      </c>
    </row>
    <row r="37" spans="1:10" outlineLevel="1">
      <c r="B37" s="359" t="s">
        <v>429</v>
      </c>
      <c r="C37" s="359" t="s">
        <v>424</v>
      </c>
      <c r="D37" s="415"/>
      <c r="E37" s="415">
        <v>0</v>
      </c>
      <c r="F37" s="360">
        <f>+D37-E37</f>
        <v>0</v>
      </c>
      <c r="G37" s="415"/>
      <c r="H37" s="361">
        <f>E37-G37</f>
        <v>0</v>
      </c>
      <c r="I37" s="362">
        <f>+G37+H37</f>
        <v>0</v>
      </c>
    </row>
    <row r="38" spans="1:10" ht="15.75" customHeight="1" outlineLevel="1">
      <c r="B38" s="359" t="s">
        <v>430</v>
      </c>
      <c r="C38" s="359" t="s">
        <v>425</v>
      </c>
      <c r="D38" s="415"/>
      <c r="E38" s="415">
        <v>0</v>
      </c>
      <c r="F38" s="360">
        <f>+D38-E38</f>
        <v>0</v>
      </c>
      <c r="G38" s="415"/>
      <c r="H38" s="361">
        <f>+E38-G38</f>
        <v>0</v>
      </c>
      <c r="I38" s="362">
        <f t="shared" ref="I38:I39" si="0">+G38+H38</f>
        <v>0</v>
      </c>
      <c r="J38" s="104"/>
    </row>
    <row r="39" spans="1:10" ht="29" outlineLevel="1">
      <c r="B39" s="359" t="s">
        <v>431</v>
      </c>
      <c r="C39" s="359" t="s">
        <v>426</v>
      </c>
      <c r="D39" s="415"/>
      <c r="E39" s="992">
        <v>0</v>
      </c>
      <c r="F39" s="360">
        <f>+D39-E39</f>
        <v>0</v>
      </c>
      <c r="G39" s="415"/>
      <c r="H39" s="361">
        <f>+E39-G39</f>
        <v>0</v>
      </c>
      <c r="I39" s="363">
        <f t="shared" si="0"/>
        <v>0</v>
      </c>
      <c r="J39" s="104"/>
    </row>
    <row r="40" spans="1:10" ht="20.25" customHeight="1" outlineLevel="1" thickBot="1">
      <c r="B40" s="364" t="s">
        <v>303</v>
      </c>
      <c r="C40" s="364"/>
      <c r="D40" s="365">
        <f t="shared" ref="D40:H40" si="1">SUM(D37:D39)</f>
        <v>0</v>
      </c>
      <c r="E40" s="366">
        <f t="shared" si="1"/>
        <v>0</v>
      </c>
      <c r="F40" s="367">
        <f>SUM(F37:F39)</f>
        <v>0</v>
      </c>
      <c r="G40" s="368">
        <f>SUM(G37:G39)</f>
        <v>0</v>
      </c>
      <c r="H40" s="369">
        <f t="shared" si="1"/>
        <v>0</v>
      </c>
      <c r="I40" s="370">
        <f>SUM(I37:I39)</f>
        <v>0</v>
      </c>
      <c r="J40" s="371" t="str">
        <f>IF(E40&lt;&gt;I40, "Error: Total Spent for 0-12, does not equal Funding Spent as reported on GovGrants"," ")</f>
        <v xml:space="preserve"> </v>
      </c>
    </row>
    <row r="41" spans="1:10" ht="15.5" outlineLevel="1">
      <c r="B41" s="95"/>
      <c r="C41" s="95"/>
      <c r="D41" s="95"/>
      <c r="E41" s="371" t="str">
        <f>IF(E40&gt;D40,"Error: Total Funding Spent is higher than total awarded budget"," ")</f>
        <v xml:space="preserve"> </v>
      </c>
      <c r="F41" s="14"/>
      <c r="G41" s="371" t="str">
        <f>IF(G40&gt;E40,"Error: Funding for 0-6  is higher than Spent on GovGrants"," ")</f>
        <v xml:space="preserve"> </v>
      </c>
    </row>
    <row r="42" spans="1:10" ht="15.5">
      <c r="A42" s="352" t="s">
        <v>805</v>
      </c>
      <c r="B42" s="86"/>
    </row>
    <row r="43" spans="1:10" ht="15.5">
      <c r="A43" s="86"/>
      <c r="B43" s="86"/>
    </row>
    <row r="44" spans="1:10" ht="23.5">
      <c r="B44" s="1133" t="s">
        <v>355</v>
      </c>
      <c r="C44" s="1133"/>
      <c r="D44" s="1133"/>
      <c r="E44" s="1133"/>
      <c r="F44" s="1133"/>
      <c r="G44" s="1133"/>
      <c r="H44" s="1133"/>
      <c r="I44" s="1133"/>
    </row>
    <row r="45" spans="1:10" ht="15.5">
      <c r="B45" s="14"/>
      <c r="C45" s="14"/>
      <c r="D45" s="14"/>
      <c r="E45" s="14"/>
      <c r="F45" s="14"/>
      <c r="G45" s="14"/>
      <c r="H45" s="14"/>
      <c r="I45" s="14"/>
    </row>
    <row r="46" spans="1:10" ht="18.5">
      <c r="B46" s="1143" t="s">
        <v>295</v>
      </c>
      <c r="C46" s="1144"/>
      <c r="D46" s="1144"/>
      <c r="E46" s="1144"/>
      <c r="F46" s="1144"/>
      <c r="G46" s="1144"/>
      <c r="H46" s="1144"/>
      <c r="I46" s="1144"/>
    </row>
    <row r="47" spans="1:10" ht="15.75" customHeight="1" outlineLevel="1">
      <c r="B47" s="1134" t="s">
        <v>960</v>
      </c>
      <c r="C47" s="1134"/>
      <c r="D47" s="1134"/>
      <c r="E47" s="1134"/>
      <c r="F47" s="1134"/>
    </row>
    <row r="48" spans="1:10" ht="15.75" customHeight="1" outlineLevel="1">
      <c r="B48" s="1134"/>
      <c r="C48" s="1134"/>
      <c r="D48" s="1134"/>
      <c r="E48" s="1134"/>
      <c r="F48" s="1134"/>
    </row>
    <row r="49" spans="2:14" ht="15.75" customHeight="1" outlineLevel="1">
      <c r="B49" s="1134"/>
      <c r="C49" s="1134"/>
      <c r="D49" s="1134"/>
      <c r="E49" s="1134"/>
      <c r="F49" s="1134"/>
    </row>
    <row r="50" spans="2:14" ht="74.25" customHeight="1" outlineLevel="1">
      <c r="B50" s="1134"/>
      <c r="C50" s="1134"/>
      <c r="D50" s="1134"/>
      <c r="E50" s="1134"/>
      <c r="F50" s="1134"/>
    </row>
    <row r="51" spans="2:14" ht="22.5" customHeight="1" outlineLevel="1">
      <c r="B51" s="287"/>
      <c r="C51" s="287"/>
      <c r="D51" s="287"/>
      <c r="E51" s="287"/>
      <c r="F51" s="287"/>
    </row>
    <row r="52" spans="2:14" ht="18.5" outlineLevel="1">
      <c r="B52" s="1145" t="s">
        <v>335</v>
      </c>
      <c r="C52" s="1146"/>
      <c r="D52" s="1146"/>
      <c r="E52" s="1146"/>
      <c r="F52" s="1146"/>
      <c r="G52" s="1146"/>
      <c r="H52" s="1146"/>
      <c r="I52" s="1146"/>
      <c r="J52" s="1146"/>
    </row>
    <row r="53" spans="2:14" ht="15.5" outlineLevel="1">
      <c r="B53" s="83"/>
      <c r="C53" s="14"/>
      <c r="D53" s="14"/>
      <c r="J53" s="81"/>
    </row>
    <row r="54" spans="2:14" ht="15.5" outlineLevel="1">
      <c r="B54" s="83" t="s">
        <v>421</v>
      </c>
      <c r="C54" s="417"/>
      <c r="D54" s="14"/>
      <c r="J54" s="81"/>
      <c r="K54" s="14"/>
    </row>
    <row r="55" spans="2:14" ht="15.5" outlineLevel="1">
      <c r="B55" s="83" t="s">
        <v>441</v>
      </c>
      <c r="J55" s="81"/>
      <c r="K55" s="14"/>
    </row>
    <row r="56" spans="2:14" ht="16" outlineLevel="1" thickBot="1">
      <c r="B56" s="86"/>
      <c r="J56" s="81"/>
      <c r="K56" s="14"/>
    </row>
    <row r="57" spans="2:14" ht="16" outlineLevel="1" thickBot="1">
      <c r="C57" s="14"/>
      <c r="D57" s="973" t="str">
        <f>IF('A2.Allocation &amp; Operating Plan'!E$10=0," ", 'A2.Allocation &amp; Operating Plan'!E$10)</f>
        <v xml:space="preserve"> </v>
      </c>
      <c r="E57" s="973" t="str">
        <f>IF('A2.Allocation &amp; Operating Plan'!F$10=0, " ", 'A2.Allocation &amp; Operating Plan'!F$10)</f>
        <v xml:space="preserve"> </v>
      </c>
      <c r="F57" s="973" t="str">
        <f>IF('A2.Allocation &amp; Operating Plan'!G$10=0," ", 'A2.Allocation &amp; Operating Plan'!G$10)</f>
        <v xml:space="preserve"> </v>
      </c>
      <c r="G57" s="973" t="str">
        <f>IF('A2.Allocation &amp; Operating Plan'!H$10=0, " ", 'A2.Allocation &amp; Operating Plan'!H$10)</f>
        <v xml:space="preserve"> </v>
      </c>
      <c r="H57" s="973" t="str">
        <f>IF('A2.Allocation &amp; Operating Plan'!I$10=0," ", 'A2.Allocation &amp; Operating Plan'!I$10)</f>
        <v xml:space="preserve"> </v>
      </c>
      <c r="J57" s="56"/>
      <c r="K57" s="14"/>
    </row>
    <row r="58" spans="2:14" ht="15.5" outlineLevel="1">
      <c r="B58" s="372" t="s">
        <v>314</v>
      </c>
      <c r="C58" s="941" t="s">
        <v>952</v>
      </c>
      <c r="D58" s="973" t="str">
        <f>IF('A2.Allocation &amp; Operating Plan'!E$11=0," ", 'A2.Allocation &amp; Operating Plan'!E$11)</f>
        <v xml:space="preserve"> </v>
      </c>
      <c r="E58" s="973" t="str">
        <f>IF('A2.Allocation &amp; Operating Plan'!F$11=0, " ", 'A2.Allocation &amp; Operating Plan'!F$11)</f>
        <v xml:space="preserve"> </v>
      </c>
      <c r="F58" s="973" t="str">
        <f>IF('A2.Allocation &amp; Operating Plan'!G$11=0," ", 'A2.Allocation &amp; Operating Plan'!G$11)</f>
        <v xml:space="preserve"> </v>
      </c>
      <c r="G58" s="973" t="str">
        <f>IF('A2.Allocation &amp; Operating Plan'!H$11=0, " ", 'A2.Allocation &amp; Operating Plan'!H$11)</f>
        <v xml:space="preserve"> </v>
      </c>
      <c r="H58" s="973" t="str">
        <f>IF('A2.Allocation &amp; Operating Plan'!I$11=0," ", 'A2.Allocation &amp; Operating Plan'!I$11)</f>
        <v xml:space="preserve"> </v>
      </c>
      <c r="J58" s="939"/>
      <c r="K58" s="14"/>
    </row>
    <row r="59" spans="2:14" ht="15.5" outlineLevel="1">
      <c r="B59" s="83" t="s">
        <v>941</v>
      </c>
      <c r="C59" s="942">
        <f>SUM(D59:H59)</f>
        <v>0</v>
      </c>
      <c r="D59" s="946"/>
      <c r="E59" s="946"/>
      <c r="F59" s="946"/>
      <c r="G59" s="946"/>
      <c r="H59" s="946"/>
      <c r="I59" s="376"/>
      <c r="J59" s="81"/>
      <c r="K59" s="14"/>
      <c r="N59" s="57"/>
    </row>
    <row r="60" spans="2:14" ht="15.5" outlineLevel="1">
      <c r="B60" s="935" t="s">
        <v>293</v>
      </c>
      <c r="C60" s="943">
        <f>SUM(D60:H60)</f>
        <v>0</v>
      </c>
      <c r="D60" s="947"/>
      <c r="E60" s="947"/>
      <c r="F60" s="947"/>
      <c r="G60" s="947"/>
      <c r="H60" s="947"/>
      <c r="I60" s="376"/>
      <c r="J60" s="81"/>
      <c r="K60" s="14"/>
    </row>
    <row r="61" spans="2:14" ht="15.5" outlineLevel="1">
      <c r="B61" s="935" t="s">
        <v>294</v>
      </c>
      <c r="C61" s="943">
        <f>SUM(D61:H61)</f>
        <v>0</v>
      </c>
      <c r="D61" s="947"/>
      <c r="E61" s="947"/>
      <c r="F61" s="947"/>
      <c r="G61" s="947"/>
      <c r="H61" s="947"/>
      <c r="I61" s="84"/>
      <c r="J61" s="81"/>
      <c r="K61" s="14"/>
    </row>
    <row r="62" spans="2:14" ht="12.75" customHeight="1" outlineLevel="1">
      <c r="B62" s="377" t="s">
        <v>315</v>
      </c>
      <c r="C62" s="942">
        <f>C59-C60-C61</f>
        <v>0</v>
      </c>
      <c r="D62" s="942">
        <f t="shared" ref="D62:H62" si="2">D59-D60-D61</f>
        <v>0</v>
      </c>
      <c r="E62" s="942">
        <f t="shared" si="2"/>
        <v>0</v>
      </c>
      <c r="F62" s="942">
        <f t="shared" si="2"/>
        <v>0</v>
      </c>
      <c r="G62" s="942">
        <f t="shared" si="2"/>
        <v>0</v>
      </c>
      <c r="H62" s="942">
        <f t="shared" si="2"/>
        <v>0</v>
      </c>
      <c r="J62" s="81"/>
      <c r="K62" s="14"/>
    </row>
    <row r="63" spans="2:14" ht="17.75" customHeight="1" outlineLevel="1" thickBot="1">
      <c r="B63" s="83"/>
      <c r="C63" s="14"/>
      <c r="D63" s="14"/>
      <c r="E63" s="14"/>
      <c r="F63" s="14"/>
      <c r="G63" s="14"/>
      <c r="H63" s="14"/>
      <c r="J63" s="81"/>
      <c r="K63" s="14"/>
    </row>
    <row r="64" spans="2:14" ht="17.75" customHeight="1" outlineLevel="1">
      <c r="B64" s="83"/>
      <c r="C64" s="14"/>
      <c r="D64" s="973" t="str">
        <f>IF('A2.Allocation &amp; Operating Plan'!E$10=0," ", 'A2.Allocation &amp; Operating Plan'!E$10)</f>
        <v xml:space="preserve"> </v>
      </c>
      <c r="E64" s="973" t="str">
        <f>IF('A2.Allocation &amp; Operating Plan'!F$10=0, " ", 'A2.Allocation &amp; Operating Plan'!F$10)</f>
        <v xml:space="preserve"> </v>
      </c>
      <c r="F64" s="973" t="str">
        <f>IF('A2.Allocation &amp; Operating Plan'!G$10=0," ", 'A2.Allocation &amp; Operating Plan'!G$10)</f>
        <v xml:space="preserve"> </v>
      </c>
      <c r="G64" s="973" t="str">
        <f>IF('A2.Allocation &amp; Operating Plan'!H$10=0, " ", 'A2.Allocation &amp; Operating Plan'!H$10)</f>
        <v xml:space="preserve"> </v>
      </c>
      <c r="H64" s="973" t="str">
        <f>IF('A2.Allocation &amp; Operating Plan'!I$10=0," ", 'A2.Allocation &amp; Operating Plan'!I$10)</f>
        <v xml:space="preserve"> </v>
      </c>
      <c r="J64" s="81"/>
      <c r="K64" s="14"/>
    </row>
    <row r="65" spans="2:14" ht="15.5" outlineLevel="1">
      <c r="B65" s="91" t="s">
        <v>316</v>
      </c>
      <c r="C65" s="941" t="s">
        <v>952</v>
      </c>
      <c r="D65" s="949" t="str">
        <f>D58</f>
        <v xml:space="preserve"> </v>
      </c>
      <c r="E65" s="949" t="str">
        <f t="shared" ref="E65:H65" si="3">E58</f>
        <v xml:space="preserve"> </v>
      </c>
      <c r="F65" s="949" t="str">
        <f t="shared" si="3"/>
        <v xml:space="preserve"> </v>
      </c>
      <c r="G65" s="949" t="str">
        <f t="shared" si="3"/>
        <v xml:space="preserve"> </v>
      </c>
      <c r="H65" s="949" t="str">
        <f t="shared" si="3"/>
        <v xml:space="preserve"> </v>
      </c>
      <c r="I65" s="373" t="s">
        <v>287</v>
      </c>
      <c r="J65" s="56"/>
      <c r="K65" s="14"/>
    </row>
    <row r="66" spans="2:14" ht="15.5" outlineLevel="1">
      <c r="B66" s="83" t="s">
        <v>315</v>
      </c>
      <c r="C66" s="942">
        <f>C62</f>
        <v>0</v>
      </c>
      <c r="D66" s="948">
        <f t="shared" ref="D66:H66" si="4">D62</f>
        <v>0</v>
      </c>
      <c r="E66" s="948">
        <f t="shared" si="4"/>
        <v>0</v>
      </c>
      <c r="F66" s="948">
        <f t="shared" si="4"/>
        <v>0</v>
      </c>
      <c r="G66" s="948">
        <f t="shared" si="4"/>
        <v>0</v>
      </c>
      <c r="H66" s="948">
        <f t="shared" si="4"/>
        <v>0</v>
      </c>
      <c r="I66" s="379"/>
      <c r="J66" s="56"/>
      <c r="K66" s="14"/>
      <c r="N66" s="280"/>
    </row>
    <row r="67" spans="2:14" ht="16.5" customHeight="1" outlineLevel="1">
      <c r="B67" s="85" t="s">
        <v>292</v>
      </c>
      <c r="C67" s="943">
        <f>IFERROR(SUM(D67:H67), " ")</f>
        <v>0</v>
      </c>
      <c r="D67" s="947"/>
      <c r="E67" s="947"/>
      <c r="F67" s="947"/>
      <c r="G67" s="947"/>
      <c r="H67" s="947"/>
      <c r="I67" s="380">
        <f>IFERROR(C67/C66,0)</f>
        <v>0</v>
      </c>
      <c r="J67" s="56"/>
      <c r="K67" s="14"/>
    </row>
    <row r="68" spans="2:14" ht="15.5" outlineLevel="1">
      <c r="B68" s="83" t="s">
        <v>291</v>
      </c>
      <c r="C68" s="942">
        <f>+C66-C67</f>
        <v>0</v>
      </c>
      <c r="D68" s="948">
        <f t="shared" ref="D68:H68" si="5">+D66-D67</f>
        <v>0</v>
      </c>
      <c r="E68" s="948">
        <f t="shared" si="5"/>
        <v>0</v>
      </c>
      <c r="F68" s="948">
        <f t="shared" si="5"/>
        <v>0</v>
      </c>
      <c r="G68" s="948">
        <f t="shared" si="5"/>
        <v>0</v>
      </c>
      <c r="H68" s="948">
        <f t="shared" si="5"/>
        <v>0</v>
      </c>
      <c r="I68" s="379"/>
      <c r="J68" s="56"/>
      <c r="K68" s="14"/>
    </row>
    <row r="69" spans="2:14" ht="15.5" outlineLevel="1">
      <c r="B69" s="85" t="s">
        <v>317</v>
      </c>
      <c r="C69" s="943">
        <f>SUM(D69:H69)</f>
        <v>0</v>
      </c>
      <c r="D69" s="947"/>
      <c r="E69" s="947"/>
      <c r="F69" s="947"/>
      <c r="G69" s="947"/>
      <c r="H69" s="947"/>
      <c r="I69" s="380">
        <f>IFERROR(C69/C68,0)</f>
        <v>0</v>
      </c>
      <c r="J69" s="56"/>
      <c r="K69" s="14"/>
    </row>
    <row r="70" spans="2:14" ht="16" outlineLevel="1" thickBot="1">
      <c r="B70" s="92" t="s">
        <v>434</v>
      </c>
      <c r="C70" s="944">
        <f>+C68-C69</f>
        <v>0</v>
      </c>
      <c r="D70" s="950">
        <f t="shared" ref="D70:H70" si="6">+D68-D69</f>
        <v>0</v>
      </c>
      <c r="E70" s="950">
        <f t="shared" si="6"/>
        <v>0</v>
      </c>
      <c r="F70" s="950">
        <f t="shared" si="6"/>
        <v>0</v>
      </c>
      <c r="G70" s="950">
        <f t="shared" si="6"/>
        <v>0</v>
      </c>
      <c r="H70" s="950">
        <f t="shared" si="6"/>
        <v>0</v>
      </c>
      <c r="I70" s="381"/>
      <c r="J70" s="56"/>
      <c r="K70" s="14"/>
    </row>
    <row r="71" spans="2:14" ht="15.5" outlineLevel="1">
      <c r="B71" s="76"/>
      <c r="J71" s="56"/>
      <c r="K71" s="14"/>
    </row>
    <row r="72" spans="2:14" ht="15.75" customHeight="1" outlineLevel="1">
      <c r="B72" s="1136" t="s">
        <v>289</v>
      </c>
      <c r="C72" s="1137"/>
      <c r="D72" s="1137"/>
      <c r="E72" s="1137"/>
      <c r="F72" s="1137"/>
      <c r="G72" s="1137"/>
      <c r="H72" s="1137"/>
      <c r="I72" s="1138"/>
      <c r="J72" s="56"/>
    </row>
    <row r="73" spans="2:14" ht="16" outlineLevel="1" thickBot="1">
      <c r="B73" s="83" t="s">
        <v>440</v>
      </c>
      <c r="J73" s="56"/>
      <c r="K73" s="14"/>
    </row>
    <row r="74" spans="2:14" ht="16" outlineLevel="1" thickBot="1">
      <c r="B74" s="83"/>
      <c r="D74" s="973" t="str">
        <f>IF('A2.Allocation &amp; Operating Plan'!E$10=0," ", 'A2.Allocation &amp; Operating Plan'!E$10)</f>
        <v xml:space="preserve"> </v>
      </c>
      <c r="E74" s="973" t="str">
        <f>IF('A2.Allocation &amp; Operating Plan'!F$10=0, " ", 'A2.Allocation &amp; Operating Plan'!F$10)</f>
        <v xml:space="preserve"> </v>
      </c>
      <c r="F74" s="973" t="str">
        <f>IF('A2.Allocation &amp; Operating Plan'!G$10=0," ", 'A2.Allocation &amp; Operating Plan'!G$10)</f>
        <v xml:space="preserve"> </v>
      </c>
      <c r="G74" s="973" t="str">
        <f>IF('A2.Allocation &amp; Operating Plan'!H$10=0, " ", 'A2.Allocation &amp; Operating Plan'!H$10)</f>
        <v xml:space="preserve"> </v>
      </c>
      <c r="H74" s="973" t="str">
        <f>IF('A2.Allocation &amp; Operating Plan'!I$10=0," ", 'A2.Allocation &amp; Operating Plan'!I$10)</f>
        <v xml:space="preserve"> </v>
      </c>
      <c r="J74" s="81"/>
      <c r="K74" s="14"/>
    </row>
    <row r="75" spans="2:14" ht="15.5" outlineLevel="1">
      <c r="B75" s="382" t="s">
        <v>314</v>
      </c>
      <c r="C75" s="941" t="s">
        <v>952</v>
      </c>
      <c r="D75" s="951" t="str">
        <f>D65</f>
        <v xml:space="preserve"> </v>
      </c>
      <c r="E75" s="951" t="str">
        <f>E65</f>
        <v xml:space="preserve"> </v>
      </c>
      <c r="F75" s="951" t="str">
        <f>F65</f>
        <v xml:space="preserve"> </v>
      </c>
      <c r="G75" s="951" t="str">
        <f>G65</f>
        <v xml:space="preserve"> </v>
      </c>
      <c r="H75" s="951" t="str">
        <f>H65</f>
        <v xml:space="preserve"> </v>
      </c>
      <c r="I75" s="373" t="s">
        <v>832</v>
      </c>
      <c r="J75" s="81"/>
      <c r="K75" s="14"/>
    </row>
    <row r="76" spans="2:14" ht="15.5" outlineLevel="1">
      <c r="B76" s="374" t="s">
        <v>387</v>
      </c>
      <c r="C76" s="942">
        <f>SUM(D76:H76)</f>
        <v>0</v>
      </c>
      <c r="D76" s="946"/>
      <c r="E76" s="946"/>
      <c r="F76" s="946"/>
      <c r="G76" s="946"/>
      <c r="H76" s="946"/>
      <c r="I76" s="383">
        <f>IF(C54="YEs",0,IF((C59-C60-C61-C67-C69)-(C76-C77-C78-C79-C80)&gt;0,(C59-C60-C61-C67-C69)-(C76-C77-C78-C79-C80),0))</f>
        <v>0</v>
      </c>
      <c r="J76" s="56"/>
    </row>
    <row r="77" spans="2:14" ht="15.75" customHeight="1" outlineLevel="1">
      <c r="B77" s="384" t="s">
        <v>472</v>
      </c>
      <c r="C77" s="942">
        <f t="shared" ref="C77:C78" si="7">SUM(D77:H77)</f>
        <v>0</v>
      </c>
      <c r="D77" s="947"/>
      <c r="E77" s="947"/>
      <c r="F77" s="947"/>
      <c r="G77" s="947"/>
      <c r="H77" s="947"/>
      <c r="I77" s="84"/>
      <c r="J77" s="385"/>
    </row>
    <row r="78" spans="2:14" ht="16" outlineLevel="1" thickBot="1">
      <c r="B78" s="384" t="s">
        <v>473</v>
      </c>
      <c r="C78" s="942">
        <f t="shared" si="7"/>
        <v>0</v>
      </c>
      <c r="D78" s="952"/>
      <c r="E78" s="952"/>
      <c r="F78" s="952"/>
      <c r="G78" s="952"/>
      <c r="H78" s="952"/>
      <c r="I78" s="371" t="str">
        <f>IF(C76-C77-C78&lt;0,"Error Costs of Project’s is lower than costs covered by insurance and landlord"," ")</f>
        <v xml:space="preserve"> </v>
      </c>
      <c r="J78" s="385"/>
      <c r="K78" s="14"/>
    </row>
    <row r="79" spans="2:14" ht="15.5" outlineLevel="1">
      <c r="B79" s="384" t="s">
        <v>474</v>
      </c>
      <c r="C79" s="386">
        <f>IF((C76-C77-C78)&gt;C62,C67,(C76-C77-C78)*$I$67)</f>
        <v>0</v>
      </c>
      <c r="D79" s="386">
        <f t="shared" ref="D79:H79" si="8">IF((D76-D77-D78)&gt;D62,D67,(D76-D77-D78)*$I$67)</f>
        <v>0</v>
      </c>
      <c r="E79" s="386">
        <f t="shared" si="8"/>
        <v>0</v>
      </c>
      <c r="F79" s="386">
        <f>IF((F76-F77-F78)&gt;F62,F67,(F76-F77-F78)*$I$67)</f>
        <v>0</v>
      </c>
      <c r="G79" s="386">
        <f t="shared" si="8"/>
        <v>0</v>
      </c>
      <c r="H79" s="386">
        <f t="shared" si="8"/>
        <v>0</v>
      </c>
      <c r="I79" s="371" t="str">
        <f>IF($C$76-$C$77-$C$78&gt;C66,"For OTEF reconciliation proration maximum is the amount approved", " ")</f>
        <v xml:space="preserve"> </v>
      </c>
      <c r="J79" s="385"/>
      <c r="K79" s="14"/>
    </row>
    <row r="80" spans="2:14" ht="15.5" outlineLevel="1">
      <c r="B80" s="384" t="s">
        <v>475</v>
      </c>
      <c r="C80" s="386">
        <f>IF((+C76-C77-C78-C79)&gt;C62-C67,C69,(+C76-C77-C78-C79)*$I$69)</f>
        <v>0</v>
      </c>
      <c r="D80" s="386">
        <f t="shared" ref="D80:H80" si="9">IF((+D76-D77-D78-D79)&gt;D62-D67,D69,(+D76-D77-D78-D79)*$I$69)</f>
        <v>0</v>
      </c>
      <c r="E80" s="386">
        <f t="shared" si="9"/>
        <v>0</v>
      </c>
      <c r="F80" s="386">
        <f t="shared" si="9"/>
        <v>0</v>
      </c>
      <c r="G80" s="386">
        <f t="shared" si="9"/>
        <v>0</v>
      </c>
      <c r="H80" s="386">
        <f t="shared" si="9"/>
        <v>0</v>
      </c>
      <c r="I80" s="371" t="str">
        <f>IF($C$76-$C$77-$C$78&gt;C66,"For OTEF reconciliation cost sharing maximum is amount approved", " ")</f>
        <v xml:space="preserve"> </v>
      </c>
      <c r="J80" s="385"/>
      <c r="K80" s="14"/>
    </row>
    <row r="81" spans="1:11" ht="15.5" outlineLevel="1">
      <c r="B81" s="377" t="s">
        <v>444</v>
      </c>
      <c r="C81" s="966">
        <f>IF(C62&gt;C76-C77-C78,C76-C77-C78-C79-C80,C70)</f>
        <v>0</v>
      </c>
      <c r="D81" s="966">
        <f t="shared" ref="D81:H81" si="10">IF(D62&gt;D76-D77-D78,D76-D77-D78-D79-D80,D70)</f>
        <v>0</v>
      </c>
      <c r="E81" s="966">
        <f t="shared" si="10"/>
        <v>0</v>
      </c>
      <c r="F81" s="966">
        <f t="shared" si="10"/>
        <v>0</v>
      </c>
      <c r="G81" s="966">
        <f t="shared" si="10"/>
        <v>0</v>
      </c>
      <c r="H81" s="966">
        <f t="shared" si="10"/>
        <v>0</v>
      </c>
      <c r="I81" s="371" t="str">
        <f>IF(C76-C77-C78&gt;C62,"Total Project cost is higher than Approved Project cost, maximum is Total OTEF funding received", " ")</f>
        <v xml:space="preserve"> </v>
      </c>
      <c r="J81" s="385"/>
      <c r="K81" s="14"/>
    </row>
    <row r="82" spans="1:11" ht="15.5" outlineLevel="1">
      <c r="B82" s="83"/>
      <c r="C82" s="387"/>
      <c r="D82" s="387"/>
      <c r="E82" s="387"/>
      <c r="F82" s="387"/>
      <c r="G82" s="387"/>
      <c r="H82" s="387"/>
      <c r="J82" s="56"/>
      <c r="K82" s="14"/>
    </row>
    <row r="83" spans="1:11" ht="15" customHeight="1" outlineLevel="1">
      <c r="B83" s="372" t="s">
        <v>349</v>
      </c>
      <c r="C83" s="388" t="s">
        <v>246</v>
      </c>
      <c r="D83" s="96"/>
      <c r="E83" s="96"/>
      <c r="F83" s="96"/>
      <c r="G83" s="96"/>
      <c r="H83" s="96"/>
      <c r="I83" s="375"/>
      <c r="J83" s="81"/>
      <c r="K83" s="14"/>
    </row>
    <row r="84" spans="1:11" ht="15.5" outlineLevel="1">
      <c r="B84" s="389" t="s">
        <v>481</v>
      </c>
      <c r="C84" s="390">
        <f>IF(I76&lt;&gt;0,0,I84)</f>
        <v>0</v>
      </c>
      <c r="D84" s="940"/>
      <c r="E84" s="940"/>
      <c r="F84" s="940"/>
      <c r="G84" s="940"/>
      <c r="H84" s="940"/>
      <c r="I84" s="391">
        <f>IF(C70&lt;(C76-C77-C78-C79-C80),C70,+C76-C77-C78-C79-C80)</f>
        <v>0</v>
      </c>
      <c r="J84" s="81"/>
      <c r="K84" s="14"/>
    </row>
    <row r="85" spans="1:11" ht="16" outlineLevel="1" thickBot="1">
      <c r="B85" s="392" t="s">
        <v>288</v>
      </c>
      <c r="C85" s="393">
        <f>IF(I76&lt;&gt;0,0,C70-C84)</f>
        <v>0</v>
      </c>
      <c r="D85" s="394"/>
      <c r="E85" s="394"/>
      <c r="F85" s="394"/>
      <c r="G85" s="394"/>
      <c r="H85" s="394"/>
      <c r="I85" s="394"/>
      <c r="J85" s="82"/>
      <c r="K85" s="14"/>
    </row>
    <row r="86" spans="1:11" ht="15.5" outlineLevel="1">
      <c r="B86" s="14"/>
      <c r="C86" s="395"/>
      <c r="D86" s="396"/>
      <c r="E86" s="14"/>
      <c r="F86" s="14"/>
    </row>
    <row r="87" spans="1:11" ht="15.5">
      <c r="A87" s="352" t="s">
        <v>805</v>
      </c>
      <c r="B87" s="86"/>
      <c r="C87" s="14"/>
      <c r="D87" s="14"/>
      <c r="E87" s="14"/>
      <c r="F87" s="14"/>
    </row>
    <row r="88" spans="1:11" ht="15.5">
      <c r="A88" s="86"/>
      <c r="B88" s="86"/>
      <c r="C88" s="14"/>
      <c r="D88" s="14"/>
      <c r="E88" s="14"/>
      <c r="F88" s="14"/>
    </row>
    <row r="89" spans="1:11" ht="23.5">
      <c r="B89" s="1133" t="s">
        <v>356</v>
      </c>
      <c r="C89" s="1133"/>
      <c r="D89" s="1133"/>
      <c r="E89" s="1133"/>
      <c r="F89" s="1133"/>
      <c r="G89" s="1133"/>
      <c r="H89" s="1133"/>
      <c r="I89" s="1133"/>
    </row>
    <row r="90" spans="1:11" ht="16" thickBot="1">
      <c r="B90" s="14"/>
      <c r="C90" s="14"/>
      <c r="D90" s="14"/>
      <c r="E90" s="14"/>
      <c r="F90" s="14"/>
    </row>
    <row r="91" spans="1:11" ht="17.25" customHeight="1" thickBot="1">
      <c r="B91" s="1148" t="s">
        <v>296</v>
      </c>
      <c r="C91" s="1149"/>
      <c r="D91" s="1149"/>
      <c r="E91" s="1149"/>
      <c r="F91" s="1149"/>
      <c r="G91" s="1149"/>
      <c r="H91" s="1149"/>
      <c r="I91" s="1149"/>
    </row>
    <row r="92" spans="1:11" ht="15.5">
      <c r="B92" s="14"/>
      <c r="C92" s="14"/>
      <c r="D92" s="14"/>
      <c r="E92" s="14"/>
      <c r="F92" s="14"/>
    </row>
    <row r="93" spans="1:11" ht="15.75" customHeight="1" outlineLevel="1">
      <c r="B93" s="1134" t="s">
        <v>961</v>
      </c>
      <c r="C93" s="1134"/>
      <c r="D93" s="1134"/>
      <c r="E93" s="1134"/>
      <c r="F93" s="1134"/>
    </row>
    <row r="94" spans="1:11" ht="15.75" customHeight="1" outlineLevel="1">
      <c r="B94" s="1134"/>
      <c r="C94" s="1134"/>
      <c r="D94" s="1134"/>
      <c r="E94" s="1134"/>
      <c r="F94" s="1134"/>
    </row>
    <row r="95" spans="1:11" ht="15.5" outlineLevel="1">
      <c r="B95" s="14"/>
      <c r="C95" s="14"/>
      <c r="D95" s="14"/>
      <c r="E95" s="14"/>
      <c r="F95" s="14"/>
    </row>
    <row r="96" spans="1:11" ht="18.5" outlineLevel="1">
      <c r="B96" s="1145" t="s">
        <v>443</v>
      </c>
      <c r="C96" s="1146"/>
      <c r="D96" s="1146"/>
      <c r="E96" s="1146"/>
      <c r="F96" s="1146"/>
      <c r="G96" s="1146"/>
      <c r="H96" s="1146"/>
      <c r="I96" s="1146"/>
      <c r="J96" s="1146"/>
    </row>
    <row r="97" spans="2:13" ht="16" outlineLevel="1" thickBot="1">
      <c r="B97" s="83" t="s">
        <v>442</v>
      </c>
      <c r="C97" s="14"/>
      <c r="D97" s="14"/>
      <c r="J97" s="81"/>
      <c r="K97" s="14"/>
    </row>
    <row r="98" spans="2:13" ht="16" outlineLevel="1" thickBot="1">
      <c r="C98" s="14"/>
      <c r="D98" s="951" t="str">
        <f>D57</f>
        <v xml:space="preserve"> </v>
      </c>
      <c r="E98" s="951" t="str">
        <f>E57</f>
        <v xml:space="preserve"> </v>
      </c>
      <c r="F98" s="951" t="str">
        <f>F57</f>
        <v xml:space="preserve"> </v>
      </c>
      <c r="G98" s="951" t="str">
        <f>G57</f>
        <v xml:space="preserve"> </v>
      </c>
      <c r="H98" s="951" t="str">
        <f>H57</f>
        <v xml:space="preserve"> </v>
      </c>
      <c r="J98" s="81"/>
      <c r="K98" s="14"/>
    </row>
    <row r="99" spans="2:13" ht="15.5" outlineLevel="1">
      <c r="B99" s="91" t="s">
        <v>314</v>
      </c>
      <c r="C99" s="96" t="s">
        <v>952</v>
      </c>
      <c r="D99" s="973" t="str">
        <f>IF('A2.Allocation &amp; Operating Plan'!E$11=0," ", 'A2.Allocation &amp; Operating Plan'!E$11)</f>
        <v xml:space="preserve"> </v>
      </c>
      <c r="E99" s="949" t="str">
        <f>E58</f>
        <v xml:space="preserve"> </v>
      </c>
      <c r="F99" s="949" t="str">
        <f t="shared" ref="F99" si="11">F75</f>
        <v xml:space="preserve"> </v>
      </c>
      <c r="G99" s="949" t="str">
        <f>G58</f>
        <v xml:space="preserve"> </v>
      </c>
      <c r="H99" s="949" t="str">
        <f t="shared" ref="H99" si="12">H75</f>
        <v xml:space="preserve"> </v>
      </c>
      <c r="J99" s="81"/>
      <c r="K99" s="14"/>
    </row>
    <row r="100" spans="2:13" ht="15.5" outlineLevel="1">
      <c r="B100" s="83" t="s">
        <v>943</v>
      </c>
      <c r="C100" s="942">
        <f>SUM(D100:H100)</f>
        <v>0</v>
      </c>
      <c r="D100" s="946"/>
      <c r="E100" s="946"/>
      <c r="F100" s="946"/>
      <c r="G100" s="946"/>
      <c r="H100" s="946"/>
      <c r="I100" s="375"/>
      <c r="J100" s="81"/>
      <c r="K100" s="14"/>
    </row>
    <row r="101" spans="2:13" ht="8" customHeight="1" outlineLevel="1">
      <c r="B101" s="937" t="s">
        <v>293</v>
      </c>
      <c r="C101" s="936"/>
      <c r="D101" s="1013"/>
      <c r="E101" s="1013"/>
      <c r="F101" s="1013"/>
      <c r="G101" s="1013"/>
      <c r="H101" s="1013"/>
      <c r="I101" s="375"/>
      <c r="J101" s="81"/>
      <c r="K101" s="14"/>
    </row>
    <row r="102" spans="2:13" ht="8" customHeight="1" outlineLevel="1">
      <c r="B102" s="937" t="s">
        <v>294</v>
      </c>
      <c r="C102" s="936"/>
      <c r="D102" s="1013"/>
      <c r="E102" s="1013"/>
      <c r="F102" s="1013"/>
      <c r="G102" s="1013"/>
      <c r="H102" s="1013"/>
      <c r="J102" s="81"/>
      <c r="K102" s="14"/>
    </row>
    <row r="103" spans="2:13" ht="16" outlineLevel="1" thickBot="1">
      <c r="B103" s="92" t="s">
        <v>315</v>
      </c>
      <c r="C103" s="953">
        <f>+C100-C101-C102</f>
        <v>0</v>
      </c>
      <c r="D103" s="954">
        <f>SUM(D100:D102)</f>
        <v>0</v>
      </c>
      <c r="E103" s="954">
        <f t="shared" ref="E103" si="13">SUM(E100:E102)</f>
        <v>0</v>
      </c>
      <c r="F103" s="954">
        <f t="shared" ref="F103" si="14">SUM(F100:F102)</f>
        <v>0</v>
      </c>
      <c r="G103" s="954">
        <f t="shared" ref="G103" si="15">SUM(G100:G102)</f>
        <v>0</v>
      </c>
      <c r="H103" s="954">
        <f t="shared" ref="H103" si="16">SUM(H100:H102)</f>
        <v>0</v>
      </c>
      <c r="J103" s="81"/>
      <c r="K103" s="14"/>
    </row>
    <row r="104" spans="2:13" ht="16" outlineLevel="1" thickBot="1">
      <c r="B104" s="83"/>
      <c r="C104" s="387"/>
      <c r="D104" s="14"/>
      <c r="E104" s="14"/>
      <c r="F104" s="14"/>
      <c r="G104" s="14"/>
      <c r="H104" s="14"/>
      <c r="I104" s="375"/>
      <c r="J104" s="81"/>
      <c r="K104" s="14"/>
    </row>
    <row r="105" spans="2:13" ht="15.5" outlineLevel="1">
      <c r="B105" s="83"/>
      <c r="C105" s="387"/>
      <c r="D105" s="945" t="str">
        <f>D98</f>
        <v xml:space="preserve"> </v>
      </c>
      <c r="E105" s="945" t="str">
        <f t="shared" ref="E105:H105" si="17">E98</f>
        <v xml:space="preserve"> </v>
      </c>
      <c r="F105" s="945" t="str">
        <f t="shared" si="17"/>
        <v xml:space="preserve"> </v>
      </c>
      <c r="G105" s="945" t="str">
        <f t="shared" si="17"/>
        <v xml:space="preserve"> </v>
      </c>
      <c r="H105" s="945" t="str">
        <f t="shared" si="17"/>
        <v xml:space="preserve"> </v>
      </c>
      <c r="I105" s="375"/>
      <c r="J105" s="81"/>
      <c r="K105" s="14"/>
    </row>
    <row r="106" spans="2:13" ht="15.5" outlineLevel="1">
      <c r="B106" s="91" t="s">
        <v>316</v>
      </c>
      <c r="C106" s="96" t="s">
        <v>952</v>
      </c>
      <c r="D106" s="949" t="str">
        <f t="shared" ref="D106:H106" si="18">D99</f>
        <v xml:space="preserve"> </v>
      </c>
      <c r="E106" s="949" t="str">
        <f t="shared" si="18"/>
        <v xml:space="preserve"> </v>
      </c>
      <c r="F106" s="949" t="str">
        <f t="shared" si="18"/>
        <v xml:space="preserve"> </v>
      </c>
      <c r="G106" s="949" t="str">
        <f t="shared" si="18"/>
        <v xml:space="preserve"> </v>
      </c>
      <c r="H106" s="949" t="str">
        <f t="shared" si="18"/>
        <v xml:space="preserve"> </v>
      </c>
      <c r="I106" s="373" t="s">
        <v>287</v>
      </c>
      <c r="J106" s="81"/>
      <c r="K106" s="14"/>
    </row>
    <row r="107" spans="2:13" ht="15.5" outlineLevel="1">
      <c r="B107" s="83" t="s">
        <v>315</v>
      </c>
      <c r="C107" s="942">
        <f>C103</f>
        <v>0</v>
      </c>
      <c r="D107" s="948">
        <f t="shared" ref="D107:H107" si="19">D103</f>
        <v>0</v>
      </c>
      <c r="E107" s="948">
        <f t="shared" si="19"/>
        <v>0</v>
      </c>
      <c r="F107" s="948">
        <f t="shared" si="19"/>
        <v>0</v>
      </c>
      <c r="G107" s="948">
        <f t="shared" si="19"/>
        <v>0</v>
      </c>
      <c r="H107" s="948">
        <f t="shared" si="19"/>
        <v>0</v>
      </c>
      <c r="I107" s="379"/>
      <c r="J107" s="81"/>
      <c r="K107" s="14"/>
    </row>
    <row r="108" spans="2:13" ht="15.5" outlineLevel="1">
      <c r="B108" s="85" t="s">
        <v>292</v>
      </c>
      <c r="C108" s="942">
        <f>SUM(D108:H108)</f>
        <v>0</v>
      </c>
      <c r="D108" s="947"/>
      <c r="E108" s="947"/>
      <c r="F108" s="947"/>
      <c r="G108" s="947"/>
      <c r="H108" s="947"/>
      <c r="I108" s="380">
        <f>IFERROR(C108/C103,0)</f>
        <v>0</v>
      </c>
      <c r="J108" s="81"/>
      <c r="K108" s="14"/>
    </row>
    <row r="109" spans="2:13" ht="15.5" outlineLevel="1">
      <c r="B109" s="83" t="s">
        <v>291</v>
      </c>
      <c r="C109" s="942">
        <f>C107-C108</f>
        <v>0</v>
      </c>
      <c r="D109" s="948">
        <f t="shared" ref="D109" si="20">+D107-D108</f>
        <v>0</v>
      </c>
      <c r="E109" s="948">
        <f t="shared" ref="E109" si="21">+E107-E108</f>
        <v>0</v>
      </c>
      <c r="F109" s="948">
        <f t="shared" ref="F109" si="22">+F107-F108</f>
        <v>0</v>
      </c>
      <c r="G109" s="948">
        <f t="shared" ref="G109" si="23">+G107-G108</f>
        <v>0</v>
      </c>
      <c r="H109" s="948">
        <f t="shared" ref="H109" si="24">+H107-H108</f>
        <v>0</v>
      </c>
      <c r="I109" s="379"/>
      <c r="J109" s="81"/>
      <c r="K109" s="14"/>
    </row>
    <row r="110" spans="2:13" ht="16" outlineLevel="1" thickBot="1">
      <c r="B110" s="85" t="s">
        <v>317</v>
      </c>
      <c r="C110" s="942">
        <f>SUM(D110:H110)</f>
        <v>0</v>
      </c>
      <c r="D110" s="952"/>
      <c r="E110" s="947"/>
      <c r="F110" s="947"/>
      <c r="G110" s="947"/>
      <c r="H110" s="947"/>
      <c r="I110" s="380">
        <f>IFERROR(C110/C109,0)</f>
        <v>0</v>
      </c>
      <c r="J110" s="81"/>
      <c r="K110" s="14"/>
    </row>
    <row r="111" spans="2:13" ht="16" outlineLevel="1" thickBot="1">
      <c r="B111" s="92" t="s">
        <v>434</v>
      </c>
      <c r="C111" s="944">
        <f>C109-C110</f>
        <v>0</v>
      </c>
      <c r="D111" s="972">
        <f t="shared" ref="D111" si="25">+D109-D110</f>
        <v>0</v>
      </c>
      <c r="E111" s="950">
        <f t="shared" ref="E111" si="26">+E109-E110</f>
        <v>0</v>
      </c>
      <c r="F111" s="950">
        <f t="shared" ref="F111" si="27">+F109-F110</f>
        <v>0</v>
      </c>
      <c r="G111" s="950">
        <f t="shared" ref="G111" si="28">+G109-G110</f>
        <v>0</v>
      </c>
      <c r="H111" s="950">
        <f t="shared" ref="H111" si="29">+H109-H110</f>
        <v>0</v>
      </c>
      <c r="I111" s="381"/>
      <c r="J111" s="81"/>
      <c r="K111" s="14"/>
    </row>
    <row r="112" spans="2:13" ht="15.5" outlineLevel="1">
      <c r="B112" s="78"/>
      <c r="C112" s="14"/>
      <c r="D112" s="14"/>
      <c r="J112" s="81"/>
      <c r="K112" s="14"/>
      <c r="M112" s="526"/>
    </row>
    <row r="113" spans="1:14" ht="18.5" outlineLevel="1">
      <c r="B113" s="1145" t="s">
        <v>289</v>
      </c>
      <c r="C113" s="1146"/>
      <c r="D113" s="1146"/>
      <c r="E113" s="1146"/>
      <c r="F113" s="1146"/>
      <c r="G113" s="1146"/>
      <c r="H113" s="1146"/>
      <c r="I113" s="1147"/>
      <c r="J113" s="81"/>
      <c r="K113" s="14"/>
    </row>
    <row r="114" spans="1:14" ht="16" outlineLevel="1" thickBot="1">
      <c r="B114" s="83"/>
      <c r="D114" s="14"/>
      <c r="J114" s="81"/>
      <c r="K114" s="14"/>
      <c r="M114" s="526"/>
    </row>
    <row r="115" spans="1:14" ht="15.5" outlineLevel="1">
      <c r="B115" s="83" t="s">
        <v>439</v>
      </c>
      <c r="D115" s="945" t="str">
        <f>D98</f>
        <v xml:space="preserve"> </v>
      </c>
      <c r="E115" s="945" t="str">
        <f t="shared" ref="E115:H115" si="30">E98</f>
        <v xml:space="preserve"> </v>
      </c>
      <c r="F115" s="945" t="str">
        <f t="shared" si="30"/>
        <v xml:space="preserve"> </v>
      </c>
      <c r="G115" s="945" t="str">
        <f t="shared" si="30"/>
        <v xml:space="preserve"> </v>
      </c>
      <c r="H115" s="945" t="str">
        <f t="shared" si="30"/>
        <v xml:space="preserve"> </v>
      </c>
      <c r="J115" s="81"/>
      <c r="K115" s="14"/>
      <c r="M115" s="526"/>
    </row>
    <row r="116" spans="1:14" ht="15.5" outlineLevel="1">
      <c r="B116" s="91" t="s">
        <v>314</v>
      </c>
      <c r="C116" s="96" t="s">
        <v>952</v>
      </c>
      <c r="D116" s="949" t="str">
        <f>D99</f>
        <v xml:space="preserve"> </v>
      </c>
      <c r="E116" s="949" t="str">
        <f t="shared" ref="E116:H116" si="31">E99</f>
        <v xml:space="preserve"> </v>
      </c>
      <c r="F116" s="949" t="str">
        <f t="shared" si="31"/>
        <v xml:space="preserve"> </v>
      </c>
      <c r="G116" s="949" t="str">
        <f t="shared" si="31"/>
        <v xml:space="preserve"> </v>
      </c>
      <c r="H116" s="949" t="str">
        <f t="shared" si="31"/>
        <v xml:space="preserve"> </v>
      </c>
      <c r="J116" s="81"/>
      <c r="K116" s="14"/>
      <c r="M116" s="526"/>
    </row>
    <row r="117" spans="1:14" ht="16" outlineLevel="1" thickBot="1">
      <c r="B117" s="83" t="s">
        <v>942</v>
      </c>
      <c r="C117" s="942">
        <f>SUM(D117:H117)</f>
        <v>0</v>
      </c>
      <c r="D117" s="955"/>
      <c r="E117" s="955"/>
      <c r="F117" s="955"/>
      <c r="G117" s="955"/>
      <c r="H117" s="955"/>
      <c r="J117" s="81"/>
      <c r="K117" s="14"/>
      <c r="N117" s="57"/>
    </row>
    <row r="118" spans="1:14" ht="5.75" customHeight="1" outlineLevel="1">
      <c r="B118" s="937" t="s">
        <v>472</v>
      </c>
      <c r="C118" s="936"/>
      <c r="D118" s="969"/>
      <c r="E118" s="969"/>
      <c r="F118" s="969"/>
      <c r="G118" s="969"/>
      <c r="H118" s="969"/>
      <c r="J118" s="81"/>
      <c r="K118" s="14"/>
    </row>
    <row r="119" spans="1:14" ht="5.75" customHeight="1" outlineLevel="1">
      <c r="B119" s="937" t="s">
        <v>473</v>
      </c>
      <c r="C119" s="936"/>
      <c r="D119" s="969"/>
      <c r="E119" s="969"/>
      <c r="F119" s="969"/>
      <c r="G119" s="969"/>
      <c r="H119" s="969"/>
      <c r="I119" s="371" t="str">
        <f>IF(C117-C118-C119&lt;0,"Error: Costs of Project’s is lower than costs covered by insurance and landlord"," ")</f>
        <v xml:space="preserve"> </v>
      </c>
      <c r="J119" s="81"/>
    </row>
    <row r="120" spans="1:14" ht="15.5" outlineLevel="1">
      <c r="B120" s="85" t="s">
        <v>474</v>
      </c>
      <c r="C120" s="968">
        <f>IF((C117-C118-C119)&gt;C109,C108,(C117-C118-C119)*$I$108)</f>
        <v>0</v>
      </c>
      <c r="D120" s="970">
        <f>(IF((D117-D118-D119)&gt;D109,D108,(D117-D118-D119)*$I$108))</f>
        <v>0</v>
      </c>
      <c r="E120" s="970">
        <f>IF((E117-E118-E119)&gt;E109,E108,(E117-E118-E119)*$I$108)</f>
        <v>0</v>
      </c>
      <c r="F120" s="970">
        <f t="shared" ref="F120:H120" si="32">IF((F117-F118-F119)&gt;F109,F108,(F117-F118-F119)*$I$108)</f>
        <v>0</v>
      </c>
      <c r="G120" s="970">
        <f t="shared" si="32"/>
        <v>0</v>
      </c>
      <c r="H120" s="970">
        <f t="shared" si="32"/>
        <v>0</v>
      </c>
      <c r="J120" s="398"/>
      <c r="K120" s="14"/>
    </row>
    <row r="121" spans="1:14" ht="15.5" outlineLevel="1">
      <c r="B121" s="85" t="s">
        <v>475</v>
      </c>
      <c r="C121" s="968">
        <f>IF((C117-C118-C119)&gt;C103,C110,(+C117-C118-C119-C120)*$I$110)</f>
        <v>0</v>
      </c>
      <c r="D121" s="970">
        <f>(IF((D117-D118-D119)&gt;D103,D110,(+D117-D118-D119-D120)*$I$110))</f>
        <v>0</v>
      </c>
      <c r="E121" s="970">
        <f t="shared" ref="E121:H121" si="33">IF((E117-E118-E119)&gt;E103,E110,(+E117-E118-E119-E120)*$I$110)</f>
        <v>0</v>
      </c>
      <c r="F121" s="970">
        <f t="shared" si="33"/>
        <v>0</v>
      </c>
      <c r="G121" s="970">
        <f t="shared" si="33"/>
        <v>0</v>
      </c>
      <c r="H121" s="970">
        <f t="shared" si="33"/>
        <v>0</v>
      </c>
      <c r="J121" s="81"/>
      <c r="K121" s="14"/>
    </row>
    <row r="122" spans="1:14" ht="16" outlineLevel="1" thickBot="1">
      <c r="B122" s="92" t="s">
        <v>444</v>
      </c>
      <c r="C122" s="953">
        <f>IF(C109&lt;(C117-C118-C119),C111,+C117-C118-C119-C120-C121)</f>
        <v>0</v>
      </c>
      <c r="D122" s="971">
        <f>(IF(D109&lt;(D117-D118-D119),D111,+D117-D118-D119-D120-D121))</f>
        <v>0</v>
      </c>
      <c r="E122" s="971">
        <f t="shared" ref="E122:H122" si="34">IF(E109&lt;(E117-E118-E119),E111,+E117-E118-E119-E120-E121)</f>
        <v>0</v>
      </c>
      <c r="F122" s="971">
        <f t="shared" si="34"/>
        <v>0</v>
      </c>
      <c r="G122" s="971">
        <f t="shared" si="34"/>
        <v>0</v>
      </c>
      <c r="H122" s="971">
        <f t="shared" si="34"/>
        <v>0</v>
      </c>
      <c r="J122" s="81"/>
      <c r="K122" s="14"/>
    </row>
    <row r="123" spans="1:14" ht="16" outlineLevel="1" thickBot="1">
      <c r="B123" s="302"/>
      <c r="C123" s="303"/>
      <c r="D123" s="303"/>
      <c r="E123" s="303"/>
      <c r="F123" s="303"/>
      <c r="G123" s="303"/>
      <c r="H123" s="303"/>
      <c r="I123" s="303"/>
      <c r="J123" s="399"/>
      <c r="K123" s="14"/>
    </row>
    <row r="124" spans="1:14" ht="15.5" outlineLevel="1">
      <c r="B124" s="14"/>
      <c r="C124" s="14"/>
      <c r="D124" s="14"/>
      <c r="E124" s="14"/>
      <c r="F124" s="14"/>
    </row>
    <row r="125" spans="1:14" ht="15.5">
      <c r="A125" s="352" t="s">
        <v>805</v>
      </c>
      <c r="B125" s="86"/>
      <c r="C125" s="14"/>
      <c r="D125" s="14"/>
      <c r="E125" s="14"/>
      <c r="F125" s="14"/>
    </row>
    <row r="126" spans="1:14" ht="15.5">
      <c r="A126" s="352"/>
      <c r="B126" s="86"/>
      <c r="C126" s="14"/>
      <c r="D126" s="14"/>
      <c r="E126" s="14"/>
      <c r="F126" s="14"/>
    </row>
    <row r="127" spans="1:14" ht="23.5">
      <c r="B127" s="1133" t="s">
        <v>347</v>
      </c>
      <c r="C127" s="1133"/>
      <c r="D127" s="1133"/>
      <c r="E127" s="1133"/>
      <c r="F127" s="1133"/>
    </row>
    <row r="129" spans="1:8" ht="22" customHeight="1" outlineLevel="1">
      <c r="B129" s="86" t="s">
        <v>804</v>
      </c>
      <c r="C129" s="353"/>
      <c r="D129" s="353"/>
    </row>
    <row r="130" spans="1:8" outlineLevel="1">
      <c r="B130" s="1134"/>
      <c r="C130" s="1134"/>
      <c r="D130" s="1134"/>
      <c r="E130" s="1134"/>
      <c r="F130" s="1142" t="s">
        <v>448</v>
      </c>
      <c r="G130" s="1142"/>
      <c r="H130" s="1142"/>
    </row>
    <row r="131" spans="1:8" ht="18.75" customHeight="1" outlineLevel="1">
      <c r="B131" s="1134"/>
      <c r="C131" s="1134"/>
      <c r="D131" s="1134"/>
      <c r="E131" s="1134"/>
      <c r="F131" s="1142"/>
      <c r="G131" s="1142"/>
      <c r="H131" s="1142"/>
    </row>
    <row r="132" spans="1:8" ht="55.5" outlineLevel="1">
      <c r="B132" s="354" t="s">
        <v>482</v>
      </c>
      <c r="C132" s="354" t="s">
        <v>224</v>
      </c>
      <c r="D132" s="355" t="s">
        <v>432</v>
      </c>
      <c r="E132" s="354" t="s">
        <v>378</v>
      </c>
      <c r="F132" s="354" t="s">
        <v>381</v>
      </c>
      <c r="G132" s="354" t="s">
        <v>382</v>
      </c>
      <c r="H132" s="358" t="s">
        <v>471</v>
      </c>
    </row>
    <row r="133" spans="1:8" ht="15.5" outlineLevel="1">
      <c r="B133" s="400" t="s">
        <v>486</v>
      </c>
      <c r="C133" s="415"/>
      <c r="D133" s="416"/>
      <c r="E133" s="360">
        <f>+C133-D133</f>
        <v>0</v>
      </c>
      <c r="F133" s="415"/>
      <c r="G133" s="401">
        <f>+D133-F133</f>
        <v>0</v>
      </c>
      <c r="H133" s="402">
        <f>+F133+G133</f>
        <v>0</v>
      </c>
    </row>
    <row r="134" spans="1:8" ht="15.5" outlineLevel="1">
      <c r="B134" s="403"/>
      <c r="C134" s="14"/>
      <c r="D134" s="371"/>
      <c r="E134" s="14"/>
      <c r="F134" s="371"/>
    </row>
    <row r="135" spans="1:8" ht="15.5">
      <c r="A135" s="352" t="s">
        <v>805</v>
      </c>
      <c r="B135" s="403"/>
      <c r="C135" s="14"/>
      <c r="D135" s="371"/>
      <c r="E135" s="14"/>
      <c r="F135" s="371"/>
    </row>
    <row r="136" spans="1:8" ht="15.5">
      <c r="A136" s="352"/>
      <c r="B136" s="403"/>
      <c r="C136" s="14"/>
      <c r="D136" s="371"/>
      <c r="E136" s="14"/>
      <c r="F136" s="371"/>
    </row>
    <row r="137" spans="1:8" ht="23.5">
      <c r="B137" s="1133" t="s">
        <v>807</v>
      </c>
      <c r="C137" s="1133"/>
      <c r="D137" s="1133"/>
      <c r="E137" s="1133"/>
      <c r="F137" s="1133"/>
    </row>
    <row r="138" spans="1:8" ht="15.5">
      <c r="B138" s="95"/>
      <c r="C138" s="14"/>
      <c r="D138" s="14"/>
      <c r="E138" s="14"/>
      <c r="F138" s="14"/>
    </row>
    <row r="139" spans="1:8" ht="15.5" outlineLevel="1">
      <c r="B139" s="86" t="s">
        <v>867</v>
      </c>
      <c r="C139" s="14"/>
      <c r="D139" s="14"/>
      <c r="E139" s="14"/>
      <c r="F139" s="14"/>
    </row>
    <row r="140" spans="1:8" ht="15.5" outlineLevel="1">
      <c r="B140" s="86"/>
      <c r="C140" s="14"/>
      <c r="D140" s="14"/>
      <c r="E140" s="14"/>
      <c r="F140" s="14"/>
    </row>
    <row r="141" spans="1:8" ht="15.5" outlineLevel="1">
      <c r="B141" s="86" t="s">
        <v>421</v>
      </c>
      <c r="C141" s="417"/>
      <c r="D141" s="14"/>
      <c r="E141" s="14"/>
      <c r="F141" s="14"/>
    </row>
    <row r="142" spans="1:8" ht="15.5" outlineLevel="1">
      <c r="B142" s="77"/>
      <c r="C142" s="14"/>
      <c r="D142" s="14"/>
      <c r="E142" s="14"/>
      <c r="F142" s="14"/>
    </row>
    <row r="143" spans="1:8" ht="18.5" outlineLevel="1">
      <c r="B143" s="404" t="s">
        <v>302</v>
      </c>
      <c r="C143" s="354" t="s">
        <v>863</v>
      </c>
      <c r="D143" s="354" t="s">
        <v>401</v>
      </c>
      <c r="E143" s="354" t="s">
        <v>378</v>
      </c>
      <c r="F143" s="354" t="s">
        <v>832</v>
      </c>
      <c r="G143" s="405"/>
    </row>
    <row r="144" spans="1:8" ht="18.5" outlineLevel="1">
      <c r="B144" s="406" t="s">
        <v>323</v>
      </c>
      <c r="C144" s="418"/>
      <c r="D144" s="418"/>
      <c r="E144" s="407">
        <f>IF(C141="Yes",IF(C144-D144&lt;0,0,C144-D144),0)</f>
        <v>0</v>
      </c>
      <c r="F144" s="408">
        <f>IF((C144-D144)&lt;0,0,IF(C141="No",C144-D144,0))</f>
        <v>0</v>
      </c>
      <c r="G144" s="104"/>
    </row>
    <row r="145" spans="1:7" ht="18.5" outlineLevel="1">
      <c r="B145" s="409"/>
      <c r="E145" s="410"/>
      <c r="F145" s="411"/>
      <c r="G145" s="104"/>
    </row>
    <row r="146" spans="1:7" ht="15.5">
      <c r="A146" s="352" t="s">
        <v>805</v>
      </c>
      <c r="B146" s="412"/>
      <c r="C146" s="14"/>
      <c r="D146" s="14"/>
      <c r="E146" s="14"/>
      <c r="F146" s="14"/>
    </row>
    <row r="147" spans="1:7" ht="15.5" collapsed="1">
      <c r="C147" s="14"/>
      <c r="D147" s="14"/>
      <c r="E147" s="14"/>
      <c r="F147" s="14"/>
    </row>
    <row r="148" spans="1:7" ht="23.5">
      <c r="B148" s="1133" t="s">
        <v>458</v>
      </c>
      <c r="C148" s="1133"/>
      <c r="D148" s="1133"/>
      <c r="E148" s="1133"/>
      <c r="F148" s="1133"/>
    </row>
    <row r="149" spans="1:7" ht="15.5">
      <c r="C149" s="14"/>
      <c r="D149" s="14"/>
      <c r="E149" s="14"/>
      <c r="F149" s="14"/>
    </row>
    <row r="150" spans="1:7" ht="15.5" outlineLevel="1">
      <c r="B150" s="86" t="s">
        <v>483</v>
      </c>
      <c r="C150" s="14"/>
      <c r="D150" s="14"/>
      <c r="E150" s="14"/>
      <c r="F150" s="14"/>
    </row>
    <row r="151" spans="1:7" ht="18.5" outlineLevel="1">
      <c r="B151" s="409"/>
      <c r="C151" s="410"/>
      <c r="D151" s="410"/>
      <c r="E151" s="410"/>
      <c r="F151" s="104"/>
    </row>
    <row r="152" spans="1:7" ht="55.5" outlineLevel="1">
      <c r="B152" s="354" t="s">
        <v>433</v>
      </c>
      <c r="C152" s="355" t="s">
        <v>427</v>
      </c>
      <c r="D152" s="355" t="s">
        <v>432</v>
      </c>
      <c r="E152" s="354" t="s">
        <v>378</v>
      </c>
      <c r="F152" s="104"/>
    </row>
    <row r="153" spans="1:7" ht="18.5" outlineLevel="1">
      <c r="B153" s="359" t="s">
        <v>87</v>
      </c>
      <c r="C153" s="418"/>
      <c r="D153" s="418"/>
      <c r="E153" s="413">
        <f>IF(C153-D153&lt;0,0,C153-D153)</f>
        <v>0</v>
      </c>
      <c r="F153" s="104"/>
    </row>
    <row r="154" spans="1:7" ht="15.5" outlineLevel="1" collapsed="1">
      <c r="B154" s="14"/>
      <c r="C154" s="14"/>
      <c r="D154" s="14"/>
      <c r="E154" s="14"/>
      <c r="F154" s="14"/>
    </row>
    <row r="155" spans="1:7" ht="15.5">
      <c r="A155" s="352" t="s">
        <v>805</v>
      </c>
      <c r="C155" s="14"/>
      <c r="D155" s="14"/>
      <c r="E155" s="14"/>
      <c r="F155" s="14"/>
    </row>
    <row r="156" spans="1:7" ht="15.5">
      <c r="B156" s="14"/>
      <c r="C156" s="14"/>
      <c r="D156" s="14"/>
      <c r="E156" s="14"/>
      <c r="F156" s="14"/>
    </row>
    <row r="157" spans="1:7" ht="15.5">
      <c r="B157" s="14"/>
      <c r="C157" s="14"/>
      <c r="D157" s="14"/>
      <c r="E157" s="14"/>
      <c r="F157" s="14"/>
    </row>
    <row r="158" spans="1:7" ht="15.5">
      <c r="B158" s="14"/>
      <c r="C158" s="14"/>
      <c r="D158" s="14"/>
      <c r="E158" s="14"/>
      <c r="F158" s="14"/>
    </row>
    <row r="159" spans="1:7" ht="15.5">
      <c r="B159" s="14"/>
      <c r="C159" s="14"/>
      <c r="D159" s="14"/>
      <c r="E159" s="14"/>
      <c r="F159" s="14"/>
    </row>
    <row r="200" spans="2:3" ht="15.5" hidden="1">
      <c r="B200" s="414" t="s">
        <v>130</v>
      </c>
      <c r="C200" t="s">
        <v>388</v>
      </c>
    </row>
    <row r="201" spans="2:3" ht="15.5" hidden="1">
      <c r="B201" s="414" t="s">
        <v>115</v>
      </c>
    </row>
  </sheetData>
  <sheetProtection algorithmName="SHA-512" hashValue="OaU7STRrxhLbFm2z0k2RA5dYQ2+MS0Ur7Q3YTR87T6fcs32qLVswacIgH5o13zEjfbdg+8KQ8BFOu8awn8V8Ug==" saltValue="Xy/OJ1JXJCQxWm1mJio6Ow==" spinCount="100000" sheet="1" formatRows="0"/>
  <mergeCells count="27">
    <mergeCell ref="B25:F26"/>
    <mergeCell ref="B1:F1"/>
    <mergeCell ref="B22:F23"/>
    <mergeCell ref="B127:F127"/>
    <mergeCell ref="B2:F2"/>
    <mergeCell ref="B5:F5"/>
    <mergeCell ref="B19:F20"/>
    <mergeCell ref="B7:F9"/>
    <mergeCell ref="B11:F13"/>
    <mergeCell ref="B15:F17"/>
    <mergeCell ref="B28:F28"/>
    <mergeCell ref="B93:F94"/>
    <mergeCell ref="B52:J52"/>
    <mergeCell ref="B148:F148"/>
    <mergeCell ref="B137:F137"/>
    <mergeCell ref="B130:E131"/>
    <mergeCell ref="B34:F35"/>
    <mergeCell ref="B47:F50"/>
    <mergeCell ref="B72:I72"/>
    <mergeCell ref="G35:I35"/>
    <mergeCell ref="F130:H131"/>
    <mergeCell ref="B44:I44"/>
    <mergeCell ref="B46:I46"/>
    <mergeCell ref="B113:I113"/>
    <mergeCell ref="B89:I89"/>
    <mergeCell ref="B91:I91"/>
    <mergeCell ref="B96:J96"/>
  </mergeCells>
  <phoneticPr fontId="5" type="noConversion"/>
  <conditionalFormatting sqref="E133">
    <cfRule type="cellIs" dxfId="147" priority="3" operator="lessThan">
      <formula>0</formula>
    </cfRule>
  </conditionalFormatting>
  <conditionalFormatting sqref="F37:F39">
    <cfRule type="cellIs" dxfId="146" priority="2" operator="lessThan">
      <formula>0</formula>
    </cfRule>
  </conditionalFormatting>
  <conditionalFormatting sqref="G133:H133">
    <cfRule type="cellIs" dxfId="145" priority="4" operator="lessThan">
      <formula>0</formula>
    </cfRule>
  </conditionalFormatting>
  <conditionalFormatting sqref="H37:H39">
    <cfRule type="cellIs" dxfId="144" priority="1" operator="lessThan">
      <formula>0</formula>
    </cfRule>
  </conditionalFormatting>
  <dataValidations xWindow="465" yWindow="379" count="7">
    <dataValidation type="list" allowBlank="1" showInputMessage="1" showErrorMessage="1" sqref="C54 C141" xr:uid="{2C21C7BA-62B4-4C90-BB92-EAE8A8E8AA2D}">
      <formula1>$B$200:$B$201</formula1>
    </dataValidation>
    <dataValidation allowBlank="1" showInputMessage="1" showErrorMessage="1" prompt="Deferred Revenue can't be negative" sqref="I76" xr:uid="{138B6590-53C6-49C2-A883-D6D39B72181D}"/>
    <dataValidation type="decimal" allowBlank="1" showInputMessage="1" showErrorMessage="1" error="Enter amount as a positive number." prompt="Enter amount as a positive number." sqref="D59:H61 D67:H67 D69:H69 D76:H78 D117:H117 D108:H108 D110:H110 D100:H100" xr:uid="{C2AC996F-C9F9-434E-BE11-9A1CDF14AB7E}">
      <formula1>0</formula1>
      <formula2>1E+26</formula2>
    </dataValidation>
    <dataValidation type="decimal" allowBlank="1" showInputMessage="1" showErrorMessage="1" error="Enter amount as a positive number." prompt="Enter amount as a positive number." sqref="I116 C101:C102" xr:uid="{9121DC51-9809-40A6-8031-EAD4E4350721}">
      <formula1>0</formula1>
      <formula2>1E+23</formula2>
    </dataValidation>
    <dataValidation type="decimal" allowBlank="1" showErrorMessage="1" error="Enter amount as a positive number." prompt="Enter amount as a positive number." sqref="C100 C108 C110 C117:C119" xr:uid="{3268FB0F-4D0B-4097-98F1-A4606C2E93C3}">
      <formula1>0</formula1>
      <formula2>1E+23</formula2>
    </dataValidation>
    <dataValidation type="decimal" allowBlank="1" showErrorMessage="1" error="Enter amount as a positive number." prompt="Enter amount as a positive number." sqref="C59:C61 C69 C67 C76:C78" xr:uid="{A95B5B27-1D01-4CD2-9D7E-8C9AA01CEEC4}">
      <formula1>0</formula1>
      <formula2>1E+26</formula2>
    </dataValidation>
    <dataValidation allowBlank="1" showErrorMessage="1" sqref="D101:H102" xr:uid="{47B1789C-69F5-4B8F-848B-47588C55914E}"/>
  </dataValidations>
  <pageMargins left="0.7" right="0.7" top="0.75" bottom="0.75" header="0.3" footer="0.3"/>
  <pageSetup orientation="portrait" r:id="rId1"/>
  <ignoredErrors>
    <ignoredError sqref="C69" formula="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FF83E-7795-4754-AFA5-F2E210B16458}">
  <sheetPr>
    <tabColor rgb="FFFF0000"/>
  </sheetPr>
  <dimension ref="A1:W19"/>
  <sheetViews>
    <sheetView showGridLines="0" zoomScaleNormal="100" workbookViewId="0">
      <selection activeCell="C8" sqref="C8"/>
    </sheetView>
  </sheetViews>
  <sheetFormatPr defaultColWidth="9.1796875" defaultRowHeight="14.5"/>
  <cols>
    <col min="1" max="1" width="31.54296875" style="3" customWidth="1"/>
    <col min="2" max="2" width="20.54296875" style="799" customWidth="1"/>
    <col min="3" max="3" width="20.1796875" style="799" customWidth="1"/>
    <col min="4" max="4" width="1.453125" style="799" customWidth="1"/>
    <col min="5" max="5" width="17.453125" style="799" bestFit="1" customWidth="1"/>
    <col min="6" max="6" width="2.54296875" style="799" customWidth="1"/>
    <col min="7" max="7" width="9" style="799" bestFit="1" customWidth="1"/>
    <col min="8" max="8" width="12.453125" style="799" customWidth="1"/>
    <col min="9" max="9" width="12.54296875" style="799" customWidth="1"/>
    <col min="10" max="10" width="11.1796875" style="799" bestFit="1" customWidth="1"/>
    <col min="11" max="11" width="2.54296875" style="799" customWidth="1"/>
    <col min="12" max="12" width="9" style="799" bestFit="1" customWidth="1"/>
    <col min="13" max="13" width="2.54296875" style="799" customWidth="1"/>
    <col min="14" max="14" width="17.453125" style="799" bestFit="1" customWidth="1"/>
    <col min="15" max="15" width="2" style="69" customWidth="1"/>
    <col min="16" max="16" width="2.54296875" style="799" customWidth="1"/>
    <col min="17" max="17" width="15.54296875" style="799" bestFit="1" customWidth="1"/>
    <col min="18" max="18" width="9.453125" style="799" customWidth="1"/>
    <col min="19" max="25" width="9.453125" style="3" customWidth="1"/>
    <col min="26" max="16384" width="9.1796875" style="3"/>
  </cols>
  <sheetData>
    <row r="1" spans="1:23" ht="23.5">
      <c r="A1" s="432" t="str">
        <f>IF('A1. Identification'!D7=0, "2025 FAIR, CWELCC and OTEF Reconciliation for Single Site Operators",'A1. Identification'!D7)</f>
        <v>2025 FAIR, CWELCC and OTEF Reconciliation for Single Site Operators</v>
      </c>
      <c r="B1" s="432"/>
      <c r="C1" s="432"/>
      <c r="D1" s="432"/>
      <c r="E1" s="432"/>
      <c r="F1" s="286"/>
      <c r="G1" s="286"/>
    </row>
    <row r="2" spans="1:23" ht="23.5">
      <c r="A2" s="68" t="s">
        <v>248</v>
      </c>
      <c r="H2" s="800"/>
    </row>
    <row r="3" spans="1:23" ht="23.5">
      <c r="A3" s="68" t="str">
        <f>"For The Year Ended " &amp;TEXT('A1. Identification'!D8,"mmmm d, yyyy")</f>
        <v>For The Year Ended January 0, 1900</v>
      </c>
      <c r="H3" s="800"/>
    </row>
    <row r="4" spans="1:23" ht="15" thickBot="1"/>
    <row r="5" spans="1:23" ht="15" thickBot="1">
      <c r="A5" s="801"/>
      <c r="B5" s="802"/>
      <c r="C5" s="803"/>
      <c r="D5" s="803"/>
      <c r="E5" s="803"/>
      <c r="F5" s="804"/>
      <c r="G5" s="804"/>
      <c r="H5" s="804"/>
      <c r="I5" s="804"/>
      <c r="J5" s="804"/>
      <c r="K5" s="804"/>
      <c r="L5" s="804"/>
      <c r="M5" s="804"/>
      <c r="N5" s="804"/>
      <c r="O5" s="70"/>
      <c r="P5" s="804"/>
      <c r="Q5" s="805"/>
    </row>
    <row r="6" spans="1:23" ht="37.5">
      <c r="A6" s="806" t="s">
        <v>249</v>
      </c>
      <c r="B6" s="804"/>
      <c r="C6" s="427" t="s">
        <v>250</v>
      </c>
      <c r="D6" s="804"/>
      <c r="E6" s="427" t="s">
        <v>251</v>
      </c>
      <c r="F6" s="807"/>
      <c r="G6" s="1235" t="s">
        <v>252</v>
      </c>
      <c r="H6" s="1235"/>
      <c r="I6" s="1235"/>
      <c r="J6" s="1235"/>
      <c r="K6" s="807"/>
      <c r="L6" s="427" t="s">
        <v>253</v>
      </c>
      <c r="M6" s="807"/>
      <c r="N6" s="427" t="s">
        <v>254</v>
      </c>
      <c r="O6" s="70"/>
      <c r="P6" s="807"/>
      <c r="Q6" s="428" t="s">
        <v>255</v>
      </c>
    </row>
    <row r="7" spans="1:23" customFormat="1">
      <c r="A7" s="808" t="s">
        <v>256</v>
      </c>
      <c r="B7" s="809" t="s">
        <v>257</v>
      </c>
      <c r="C7" s="810">
        <f>IFERROR('A5. Financial Position'!D12/'A5. Financial Position'!D32,0)</f>
        <v>0</v>
      </c>
      <c r="D7" s="811"/>
      <c r="E7" s="812" t="s">
        <v>258</v>
      </c>
      <c r="F7" s="811"/>
      <c r="G7" s="812" t="s">
        <v>259</v>
      </c>
      <c r="H7" s="1236" t="s">
        <v>260</v>
      </c>
      <c r="I7" s="1236"/>
      <c r="J7" s="812" t="s">
        <v>261</v>
      </c>
      <c r="K7" s="811"/>
      <c r="L7" s="813">
        <f>IF(C7="","",IF(AND(C7&gt;=0.25,C7&lt;1),50,IF(C7&gt;=1,100,IF(C7&lt;0.25,0))))</f>
        <v>0</v>
      </c>
      <c r="M7" s="811"/>
      <c r="N7" s="71">
        <v>0.3</v>
      </c>
      <c r="O7" s="429"/>
      <c r="P7" s="811"/>
      <c r="Q7" s="814">
        <f>L7*N7</f>
        <v>0</v>
      </c>
      <c r="R7" s="811"/>
    </row>
    <row r="8" spans="1:23" customFormat="1" ht="26">
      <c r="A8" s="808" t="s">
        <v>262</v>
      </c>
      <c r="B8" s="815" t="s">
        <v>263</v>
      </c>
      <c r="C8" s="816" t="e">
        <f>('A5. Financial Position'!D7+'A5. Financial Position'!D8+'A5. Financial Position'!D9)/(('A6. Operations_Consolidated'!D124-'A6. Operations_Consolidated'!D84)*1/12)</f>
        <v>#DIV/0!</v>
      </c>
      <c r="D8" s="811"/>
      <c r="E8" s="817" t="s">
        <v>264</v>
      </c>
      <c r="F8" s="811"/>
      <c r="G8" s="812" t="s">
        <v>265</v>
      </c>
      <c r="H8" s="1236" t="s">
        <v>266</v>
      </c>
      <c r="I8" s="1236"/>
      <c r="J8" s="812" t="s">
        <v>267</v>
      </c>
      <c r="K8" s="818"/>
      <c r="L8" s="819" t="e">
        <f>IF(C8="","",IF(AND(C8&gt;=1,C8&lt;3),50,IF(C8&gt;=3,100,IF(C8&lt;1,0))))</f>
        <v>#DIV/0!</v>
      </c>
      <c r="M8" s="811"/>
      <c r="N8" s="71">
        <v>0.1</v>
      </c>
      <c r="O8" s="429"/>
      <c r="P8" s="811"/>
      <c r="Q8" s="814" t="e">
        <f>L8*N8</f>
        <v>#DIV/0!</v>
      </c>
      <c r="R8" s="811"/>
      <c r="T8" s="820"/>
      <c r="U8" s="820"/>
    </row>
    <row r="9" spans="1:23" customFormat="1" ht="23.25" customHeight="1">
      <c r="A9" s="821" t="s">
        <v>268</v>
      </c>
      <c r="B9" s="818"/>
      <c r="C9" s="818"/>
      <c r="D9" s="818"/>
      <c r="F9" s="818"/>
      <c r="G9" s="301"/>
      <c r="H9" s="301"/>
      <c r="I9" s="818"/>
      <c r="J9" s="301"/>
      <c r="K9" s="818"/>
      <c r="L9" s="822"/>
      <c r="M9" s="823"/>
      <c r="N9" s="822"/>
      <c r="O9" s="429"/>
      <c r="P9" s="823"/>
      <c r="Q9" s="824"/>
      <c r="R9" s="301"/>
      <c r="U9" s="825"/>
      <c r="V9" s="826"/>
      <c r="W9" s="827"/>
    </row>
    <row r="10" spans="1:23" customFormat="1">
      <c r="A10" s="808" t="s">
        <v>269</v>
      </c>
      <c r="B10" s="809" t="s">
        <v>270</v>
      </c>
      <c r="C10" s="810" t="e">
        <f>'A5. Financial Position'!D40/'A5. Financial Position'!D20</f>
        <v>#DIV/0!</v>
      </c>
      <c r="D10" s="811"/>
      <c r="E10" s="828" t="s">
        <v>271</v>
      </c>
      <c r="F10" s="811"/>
      <c r="G10" s="829" t="s">
        <v>272</v>
      </c>
      <c r="H10" s="1237" t="s">
        <v>273</v>
      </c>
      <c r="I10" s="1237"/>
      <c r="J10" s="828" t="s">
        <v>274</v>
      </c>
      <c r="K10" s="818"/>
      <c r="L10" s="830" t="e">
        <f>IF(C10="","",IF(AND(C10&gt;0.4,C10&lt;0.6),50,IF(C10&gt;=0.6,0,IF(C10&lt;=0.4,100))))</f>
        <v>#DIV/0!</v>
      </c>
      <c r="M10" s="811"/>
      <c r="N10" s="71">
        <v>0.3</v>
      </c>
      <c r="O10" s="429"/>
      <c r="P10" s="811"/>
      <c r="Q10" s="814" t="e">
        <f>L10*N10</f>
        <v>#DIV/0!</v>
      </c>
      <c r="R10" s="811"/>
      <c r="V10" s="826"/>
      <c r="W10" s="827"/>
    </row>
    <row r="11" spans="1:23" customFormat="1" ht="23.25" customHeight="1">
      <c r="A11" s="821" t="s">
        <v>275</v>
      </c>
      <c r="B11" s="831"/>
      <c r="C11" s="811"/>
      <c r="D11" s="811"/>
      <c r="E11" s="811"/>
      <c r="F11" s="811"/>
      <c r="G11" s="811"/>
      <c r="H11" s="832"/>
      <c r="I11" s="832"/>
      <c r="J11" s="811"/>
      <c r="K11" s="811"/>
      <c r="L11" s="833"/>
      <c r="M11" s="811"/>
      <c r="N11" s="833"/>
      <c r="O11" s="429"/>
      <c r="P11" s="811"/>
      <c r="Q11" s="834"/>
      <c r="R11" s="811"/>
      <c r="V11" s="826"/>
      <c r="W11" s="827"/>
    </row>
    <row r="12" spans="1:23" customFormat="1">
      <c r="A12" s="808" t="s">
        <v>276</v>
      </c>
      <c r="B12" s="809" t="s">
        <v>277</v>
      </c>
      <c r="C12" s="72" t="e">
        <f>('A5. Financial Position'!D55/'A6. Operations_Consolidated'!D31)</f>
        <v>#DIV/0!</v>
      </c>
      <c r="D12" s="811"/>
      <c r="E12" s="829" t="s">
        <v>278</v>
      </c>
      <c r="F12" s="811"/>
      <c r="G12" s="829" t="s">
        <v>279</v>
      </c>
      <c r="H12" s="1238" t="s">
        <v>280</v>
      </c>
      <c r="I12" s="1238"/>
      <c r="J12" s="829" t="s">
        <v>281</v>
      </c>
      <c r="K12" s="811"/>
      <c r="L12" s="830" t="e">
        <f>IF(C12="","",IF(AND(C12&gt;=0,C12&lt;6%),75,IF(C12&gt;=6%,100,IF(C12&lt;0,0))))</f>
        <v>#DIV/0!</v>
      </c>
      <c r="M12" s="811"/>
      <c r="N12" s="71">
        <v>0.3</v>
      </c>
      <c r="O12" s="429"/>
      <c r="P12" s="811"/>
      <c r="Q12" s="814" t="e">
        <f>L12*N12</f>
        <v>#DIV/0!</v>
      </c>
      <c r="R12" s="811"/>
      <c r="V12" s="826"/>
      <c r="W12" s="827"/>
    </row>
    <row r="13" spans="1:23" customFormat="1">
      <c r="A13" s="808"/>
      <c r="B13" s="835"/>
      <c r="C13" s="79"/>
      <c r="D13" s="811"/>
      <c r="E13" s="818"/>
      <c r="F13" s="811"/>
      <c r="G13" s="818"/>
      <c r="H13" s="818"/>
      <c r="I13" s="818"/>
      <c r="J13" s="818"/>
      <c r="K13" s="811"/>
      <c r="L13" s="836"/>
      <c r="M13" s="811"/>
      <c r="N13" s="80"/>
      <c r="O13" s="429"/>
      <c r="P13" s="811"/>
      <c r="Q13" s="834"/>
      <c r="R13" s="811"/>
      <c r="V13" s="826"/>
      <c r="W13" s="827"/>
    </row>
    <row r="14" spans="1:23" customFormat="1">
      <c r="A14" s="76"/>
      <c r="B14" s="835"/>
      <c r="C14" s="811"/>
      <c r="D14" s="811"/>
      <c r="E14" s="818"/>
      <c r="F14" s="811"/>
      <c r="G14" s="818"/>
      <c r="H14" s="818"/>
      <c r="I14" s="818"/>
      <c r="J14" s="818"/>
      <c r="K14" s="811"/>
      <c r="L14" s="836"/>
      <c r="M14" s="811"/>
      <c r="N14" s="73"/>
      <c r="O14" s="430"/>
      <c r="P14" s="811"/>
      <c r="Q14" s="834"/>
      <c r="R14" s="811"/>
      <c r="V14" s="826"/>
      <c r="W14" s="827"/>
    </row>
    <row r="15" spans="1:23" ht="15.5">
      <c r="A15" s="277"/>
      <c r="B15" s="837"/>
      <c r="C15" s="838"/>
      <c r="D15" s="838"/>
      <c r="E15" s="838"/>
      <c r="F15" s="838"/>
      <c r="G15" s="838"/>
      <c r="H15" s="838"/>
      <c r="I15" s="838"/>
      <c r="J15" s="838"/>
      <c r="K15" s="838"/>
      <c r="L15" s="838"/>
      <c r="M15" s="838"/>
      <c r="N15" s="839" t="s">
        <v>282</v>
      </c>
      <c r="O15" s="74"/>
      <c r="P15" s="838"/>
      <c r="Q15" s="840" t="e">
        <f>Q7+Q8+Q10+Q12</f>
        <v>#DIV/0!</v>
      </c>
      <c r="R15" s="838"/>
    </row>
    <row r="16" spans="1:23" ht="15" thickBot="1">
      <c r="A16" s="841"/>
      <c r="B16" s="842"/>
      <c r="C16" s="843"/>
      <c r="D16" s="843"/>
      <c r="E16" s="843"/>
      <c r="F16" s="843"/>
      <c r="G16" s="843"/>
      <c r="H16" s="843"/>
      <c r="I16" s="843"/>
      <c r="J16" s="843"/>
      <c r="K16" s="843"/>
      <c r="L16" s="843"/>
      <c r="M16" s="843"/>
      <c r="N16" s="843"/>
      <c r="O16" s="431"/>
      <c r="P16" s="843"/>
      <c r="Q16" s="844" t="e">
        <f>IF(Q15="","",IF(AND(Q15&gt;84,Q15&lt;=100),"Excellent",IF(AND(Q15&gt;69,Q15&lt;=84),"Good",IF(AND(Q15&gt;49,Q15&lt;=69),"Fair",IF(AND(Q15&gt;24,Q15&lt;=49),"Poor",IF(AND(Q15&gt;=0,Q15&lt;=24),"Very Poor",""))))))</f>
        <v>#DIV/0!</v>
      </c>
      <c r="R16" s="838"/>
    </row>
    <row r="17" spans="1:18" ht="23.5" thickBot="1">
      <c r="A17" s="845" t="s">
        <v>285</v>
      </c>
      <c r="B17" s="846"/>
      <c r="C17" s="847"/>
      <c r="D17" s="847"/>
      <c r="E17" s="847"/>
      <c r="F17" s="847"/>
      <c r="G17" s="847"/>
      <c r="H17" s="847"/>
      <c r="I17" s="847"/>
      <c r="J17" s="847"/>
      <c r="K17" s="847"/>
      <c r="L17" s="847"/>
      <c r="M17" s="847"/>
      <c r="N17" s="847"/>
      <c r="O17" s="426"/>
      <c r="P17" s="847"/>
      <c r="Q17" s="848"/>
      <c r="R17" s="838"/>
    </row>
    <row r="18" spans="1:18" ht="15" thickBot="1">
      <c r="A18" s="808" t="s">
        <v>841</v>
      </c>
      <c r="D18" s="838"/>
      <c r="E18" s="838"/>
      <c r="F18" s="838"/>
      <c r="G18" s="838"/>
      <c r="H18" s="838"/>
      <c r="I18" s="838"/>
      <c r="J18" s="849" t="s">
        <v>842</v>
      </c>
      <c r="K18" s="838"/>
      <c r="L18" s="838"/>
      <c r="M18" s="838"/>
      <c r="N18" s="838"/>
      <c r="O18" s="74"/>
      <c r="P18" s="838"/>
      <c r="Q18" s="850" t="e">
        <f>'A6. Operations_Consolidated'!D81/'A6. Operations_Consolidated'!D124</f>
        <v>#DIV/0!</v>
      </c>
      <c r="R18" s="838"/>
    </row>
    <row r="19" spans="1:18" ht="15" thickBot="1">
      <c r="A19" s="841"/>
      <c r="B19" s="851"/>
      <c r="C19" s="851"/>
      <c r="D19" s="851"/>
      <c r="E19" s="851"/>
      <c r="F19" s="851"/>
      <c r="G19" s="851"/>
      <c r="H19" s="851"/>
      <c r="I19" s="851"/>
      <c r="J19" s="851"/>
      <c r="K19" s="851"/>
      <c r="L19" s="851"/>
      <c r="M19" s="851"/>
      <c r="N19" s="851"/>
      <c r="O19" s="75"/>
      <c r="P19" s="851"/>
      <c r="Q19" s="852"/>
    </row>
  </sheetData>
  <sheetProtection sheet="1" selectLockedCells="1"/>
  <protectedRanges>
    <protectedRange sqref="J11 Q8 G11:H11 P7:R7 N8 C7:N7 K10:N11 I10:I11 G12:N14 C10:D14 F10:F14 W9:W14 P10:R14 E11:E14" name="allow"/>
  </protectedRanges>
  <mergeCells count="5">
    <mergeCell ref="G6:J6"/>
    <mergeCell ref="H7:I7"/>
    <mergeCell ref="H8:I8"/>
    <mergeCell ref="H10:I10"/>
    <mergeCell ref="H12:I12"/>
  </mergeCells>
  <conditionalFormatting sqref="Q15">
    <cfRule type="cellIs" dxfId="4" priority="1" operator="between">
      <formula>0</formula>
      <formula>24</formula>
    </cfRule>
    <cfRule type="cellIs" dxfId="3" priority="2" operator="between">
      <formula>25</formula>
      <formula>49</formula>
    </cfRule>
    <cfRule type="cellIs" dxfId="2" priority="3" operator="between">
      <formula>50</formula>
      <formula>69</formula>
    </cfRule>
    <cfRule type="cellIs" dxfId="1" priority="4" operator="between">
      <formula>70</formula>
      <formula>84</formula>
    </cfRule>
    <cfRule type="cellIs" dxfId="0" priority="5" operator="between">
      <formula>85</formula>
      <formula>100</formula>
    </cfRule>
  </conditionalFormatting>
  <pageMargins left="0.7" right="0.7" top="0.75" bottom="0.75" header="0.3" footer="0.3"/>
  <pageSetup scale="5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858A6-2C20-4BBA-ADF5-12C83FEC1BBE}">
  <sheetPr>
    <tabColor theme="9" tint="0.59999389629810485"/>
    <pageSetUpPr fitToPage="1"/>
  </sheetPr>
  <dimension ref="B1:I62"/>
  <sheetViews>
    <sheetView showGridLines="0" zoomScale="80" zoomScaleNormal="80" workbookViewId="0">
      <selection activeCell="E11" sqref="E11"/>
    </sheetView>
  </sheetViews>
  <sheetFormatPr defaultColWidth="9.26953125" defaultRowHeight="14.5"/>
  <cols>
    <col min="1" max="1" width="3.1796875" style="534" customWidth="1"/>
    <col min="2" max="2" width="6" style="534" customWidth="1"/>
    <col min="3" max="3" width="60" style="534" customWidth="1"/>
    <col min="4" max="4" width="70.7265625" style="534" customWidth="1"/>
    <col min="5" max="5" width="38.26953125" style="534" customWidth="1"/>
    <col min="6" max="6" width="35.81640625" style="534" customWidth="1"/>
    <col min="7" max="7" width="34.7265625" style="534" customWidth="1"/>
    <col min="8" max="8" width="35.26953125" style="534" customWidth="1"/>
    <col min="9" max="9" width="32.26953125" style="534" customWidth="1"/>
    <col min="10" max="16384" width="9.26953125" style="534"/>
  </cols>
  <sheetData>
    <row r="1" spans="2:9" ht="15" thickBot="1"/>
    <row r="2" spans="2:9" ht="23.5">
      <c r="C2" s="1164" t="s">
        <v>910</v>
      </c>
      <c r="D2" s="1165"/>
      <c r="E2" s="1166"/>
      <c r="G2" s="109" t="s">
        <v>109</v>
      </c>
      <c r="H2" s="110" t="str">
        <f>IF('A1. Identification'!D13=0, " ",'A1. Identification'!D13)</f>
        <v xml:space="preserve"> </v>
      </c>
    </row>
    <row r="3" spans="2:9" ht="24" thickBot="1">
      <c r="C3" s="1167" t="str">
        <f>IF('A1. Identification'!D7=0, "2025 FAIR, CWELCC and OTEF Reconciliation for Multi Site Operators",'A1. Identification'!D7)</f>
        <v>2025 FAIR, CWELCC and OTEF Reconciliation for Multi Site Operators</v>
      </c>
      <c r="D3" s="1168"/>
      <c r="E3" s="1169"/>
      <c r="G3" s="890"/>
      <c r="H3" s="891"/>
    </row>
    <row r="4" spans="2:9" ht="15" thickBot="1"/>
    <row r="5" spans="2:9" ht="57" customHeight="1" thickTop="1" thickBot="1">
      <c r="C5" s="1170" t="s">
        <v>911</v>
      </c>
      <c r="D5" s="1171"/>
      <c r="E5" s="1172"/>
      <c r="F5" s="535"/>
    </row>
    <row r="6" spans="2:9" ht="15.5" thickTop="1" thickBot="1">
      <c r="E6" s="892"/>
    </row>
    <row r="7" spans="2:9" ht="22" hidden="1" thickTop="1" thickBot="1">
      <c r="C7" s="1007" t="s">
        <v>946</v>
      </c>
      <c r="D7" s="1008"/>
      <c r="E7" s="980" t="str">
        <f>IF('A2.Allocation &amp; Operating Plan'!E$10=0," ", 'A2.Allocation &amp; Operating Plan'!E$10)</f>
        <v xml:space="preserve"> </v>
      </c>
      <c r="F7" s="1009" t="str">
        <f>IF('A2.Allocation &amp; Operating Plan'!F$10=0, " ", 'A2.Allocation &amp; Operating Plan'!F$10)</f>
        <v xml:space="preserve"> </v>
      </c>
      <c r="G7" s="1009" t="str">
        <f>IF('A2.Allocation &amp; Operating Plan'!G$10=0," ", 'A2.Allocation &amp; Operating Plan'!G$10)</f>
        <v xml:space="preserve"> </v>
      </c>
      <c r="H7" s="1009" t="str">
        <f>IF('A2.Allocation &amp; Operating Plan'!H$10=0, " ", 'A2.Allocation &amp; Operating Plan'!H$10)</f>
        <v xml:space="preserve"> </v>
      </c>
      <c r="I7" s="1009" t="str">
        <f>IF('A2.Allocation &amp; Operating Plan'!I$10=0," ", 'A2.Allocation &amp; Operating Plan'!I$10)</f>
        <v xml:space="preserve"> </v>
      </c>
    </row>
    <row r="8" spans="2:9" ht="21.5" hidden="1" thickBot="1">
      <c r="C8" s="959" t="s">
        <v>945</v>
      </c>
      <c r="D8" s="960"/>
      <c r="E8" s="981" t="str">
        <f>IF('A2.Allocation &amp; Operating Plan'!E$11=0," ", 'A2.Allocation &amp; Operating Plan'!E$11)</f>
        <v xml:space="preserve"> </v>
      </c>
      <c r="F8" s="1009" t="str">
        <f>IF('A2.Allocation &amp; Operating Plan'!F$11=0, " ", 'A2.Allocation &amp; Operating Plan'!F$11)</f>
        <v xml:space="preserve"> </v>
      </c>
      <c r="G8" s="1009" t="str">
        <f>IF('A2.Allocation &amp; Operating Plan'!G$11=0," ", 'A2.Allocation &amp; Operating Plan'!G$11)</f>
        <v xml:space="preserve"> </v>
      </c>
      <c r="H8" s="1009" t="str">
        <f>IF('A2.Allocation &amp; Operating Plan'!H$11=0, " ", 'A2.Allocation &amp; Operating Plan'!H$11)</f>
        <v xml:space="preserve"> </v>
      </c>
      <c r="I8" s="1009" t="str">
        <f>IF('A2.Allocation &amp; Operating Plan'!I$11=0," ", 'A2.Allocation &amp; Operating Plan'!I$11)</f>
        <v xml:space="preserve"> </v>
      </c>
    </row>
    <row r="9" spans="2:9" ht="24" thickBot="1">
      <c r="C9" s="1173" t="s">
        <v>868</v>
      </c>
      <c r="D9" s="1174"/>
      <c r="E9" s="1174"/>
      <c r="F9" s="1010"/>
      <c r="G9" s="1010"/>
      <c r="H9" s="1010"/>
      <c r="I9" s="1010"/>
    </row>
    <row r="10" spans="2:9" ht="17.5" thickBot="1">
      <c r="C10" s="529" t="s">
        <v>869</v>
      </c>
      <c r="D10" s="956" t="s">
        <v>879</v>
      </c>
      <c r="E10" s="530" t="s">
        <v>977</v>
      </c>
    </row>
    <row r="11" spans="2:9" ht="32.75" customHeight="1" thickBot="1">
      <c r="B11" s="893" t="s">
        <v>912</v>
      </c>
      <c r="C11" s="531" t="s">
        <v>973</v>
      </c>
      <c r="D11" s="957" t="s">
        <v>913</v>
      </c>
      <c r="E11" s="958"/>
    </row>
    <row r="12" spans="2:9" ht="32.75" customHeight="1" thickBot="1">
      <c r="B12" s="894" t="s">
        <v>914</v>
      </c>
      <c r="C12" s="531" t="s">
        <v>974</v>
      </c>
      <c r="D12" s="957" t="s">
        <v>915</v>
      </c>
      <c r="E12" s="958"/>
    </row>
    <row r="13" spans="2:9" ht="15" customHeight="1" thickBot="1"/>
    <row r="14" spans="2:9" ht="23.75" hidden="1" customHeight="1" thickBot="1">
      <c r="C14" s="959" t="s">
        <v>946</v>
      </c>
      <c r="D14" s="960"/>
      <c r="E14" s="961" t="str">
        <f>E7</f>
        <v xml:space="preserve"> </v>
      </c>
      <c r="F14" s="961" t="str">
        <f t="shared" ref="F14:I14" si="0">F7</f>
        <v xml:space="preserve"> </v>
      </c>
      <c r="G14" s="961" t="str">
        <f t="shared" si="0"/>
        <v xml:space="preserve"> </v>
      </c>
      <c r="H14" s="961" t="str">
        <f t="shared" si="0"/>
        <v xml:space="preserve"> </v>
      </c>
      <c r="I14" s="961" t="str">
        <f t="shared" si="0"/>
        <v xml:space="preserve"> </v>
      </c>
    </row>
    <row r="15" spans="2:9" ht="23.75" hidden="1" customHeight="1" thickBot="1">
      <c r="C15" s="959" t="s">
        <v>945</v>
      </c>
      <c r="D15" s="960"/>
      <c r="E15" s="962" t="str">
        <f>E8</f>
        <v xml:space="preserve"> </v>
      </c>
      <c r="F15" s="962" t="str">
        <f t="shared" ref="F15:I15" si="1">F8</f>
        <v xml:space="preserve"> </v>
      </c>
      <c r="G15" s="962" t="str">
        <f t="shared" si="1"/>
        <v xml:space="preserve"> </v>
      </c>
      <c r="H15" s="962" t="str">
        <f t="shared" si="1"/>
        <v xml:space="preserve"> </v>
      </c>
      <c r="I15" s="962" t="str">
        <f t="shared" si="1"/>
        <v xml:space="preserve"> </v>
      </c>
    </row>
    <row r="16" spans="2:9" ht="23.75" customHeight="1" thickBot="1">
      <c r="C16" s="1173" t="s">
        <v>870</v>
      </c>
      <c r="D16" s="1174"/>
      <c r="E16" s="1174"/>
    </row>
    <row r="17" spans="2:9" ht="17.5" thickBot="1">
      <c r="C17" s="529" t="s">
        <v>869</v>
      </c>
      <c r="D17" s="530" t="s">
        <v>879</v>
      </c>
      <c r="E17" s="530" t="s">
        <v>977</v>
      </c>
    </row>
    <row r="18" spans="2:9" ht="62.5" thickBot="1">
      <c r="B18" s="893" t="s">
        <v>916</v>
      </c>
      <c r="C18" s="531" t="s">
        <v>975</v>
      </c>
      <c r="D18" s="532" t="s">
        <v>404</v>
      </c>
      <c r="E18" s="978"/>
    </row>
    <row r="19" spans="2:9" ht="78" thickBot="1">
      <c r="B19" s="894" t="s">
        <v>917</v>
      </c>
      <c r="C19" s="531" t="s">
        <v>976</v>
      </c>
      <c r="D19" s="532" t="s">
        <v>405</v>
      </c>
      <c r="E19" s="958"/>
    </row>
    <row r="20" spans="2:9" ht="15" thickBot="1"/>
    <row r="21" spans="2:9" ht="24" hidden="1" thickBot="1">
      <c r="C21" s="959" t="s">
        <v>946</v>
      </c>
      <c r="D21" s="932"/>
      <c r="E21" s="961" t="str">
        <f>E14</f>
        <v xml:space="preserve"> </v>
      </c>
      <c r="F21" s="961" t="str">
        <f t="shared" ref="F21:I21" si="2">F14</f>
        <v xml:space="preserve"> </v>
      </c>
      <c r="G21" s="961" t="str">
        <f t="shared" si="2"/>
        <v xml:space="preserve"> </v>
      </c>
      <c r="H21" s="961" t="str">
        <f t="shared" si="2"/>
        <v xml:space="preserve"> </v>
      </c>
      <c r="I21" s="961" t="str">
        <f t="shared" si="2"/>
        <v xml:space="preserve"> </v>
      </c>
    </row>
    <row r="22" spans="2:9" ht="24" hidden="1" thickBot="1">
      <c r="C22" s="959" t="s">
        <v>945</v>
      </c>
      <c r="D22" s="932"/>
      <c r="E22" s="962" t="str">
        <f>E15</f>
        <v xml:space="preserve"> </v>
      </c>
      <c r="F22" s="962" t="str">
        <f t="shared" ref="F22:I22" si="3">F15</f>
        <v xml:space="preserve"> </v>
      </c>
      <c r="G22" s="962" t="str">
        <f t="shared" si="3"/>
        <v xml:space="preserve"> </v>
      </c>
      <c r="H22" s="962" t="str">
        <f t="shared" si="3"/>
        <v xml:space="preserve"> </v>
      </c>
      <c r="I22" s="962" t="str">
        <f t="shared" si="3"/>
        <v xml:space="preserve"> </v>
      </c>
    </row>
    <row r="23" spans="2:9" ht="24" thickBot="1">
      <c r="C23" s="1173" t="s">
        <v>871</v>
      </c>
      <c r="D23" s="1174"/>
      <c r="E23" s="1174"/>
    </row>
    <row r="24" spans="2:9" ht="17.5" thickBot="1">
      <c r="C24" s="529" t="s">
        <v>869</v>
      </c>
      <c r="D24" s="530" t="s">
        <v>879</v>
      </c>
      <c r="E24" s="530" t="s">
        <v>977</v>
      </c>
    </row>
    <row r="25" spans="2:9" ht="21" customHeight="1" thickBot="1">
      <c r="B25" s="893" t="s">
        <v>918</v>
      </c>
      <c r="C25" s="531" t="s">
        <v>979</v>
      </c>
      <c r="D25" s="532" t="s">
        <v>406</v>
      </c>
      <c r="E25" s="978"/>
    </row>
    <row r="26" spans="2:9" ht="31.5" thickBot="1">
      <c r="B26" s="894" t="s">
        <v>919</v>
      </c>
      <c r="C26" s="531" t="s">
        <v>978</v>
      </c>
      <c r="D26" s="532" t="s">
        <v>872</v>
      </c>
      <c r="E26" s="958"/>
    </row>
    <row r="28" spans="2:9" ht="24" hidden="1" thickBot="1">
      <c r="C28" s="959" t="s">
        <v>946</v>
      </c>
      <c r="D28" s="932"/>
      <c r="E28" s="961" t="str">
        <f>E21</f>
        <v xml:space="preserve"> </v>
      </c>
      <c r="F28" s="961" t="str">
        <f t="shared" ref="F28:I28" si="4">F21</f>
        <v xml:space="preserve"> </v>
      </c>
      <c r="G28" s="961" t="str">
        <f t="shared" si="4"/>
        <v xml:space="preserve"> </v>
      </c>
      <c r="H28" s="961" t="str">
        <f t="shared" si="4"/>
        <v xml:space="preserve"> </v>
      </c>
      <c r="I28" s="961" t="str">
        <f t="shared" si="4"/>
        <v xml:space="preserve"> </v>
      </c>
    </row>
    <row r="29" spans="2:9" ht="24" hidden="1" thickBot="1">
      <c r="C29" s="959" t="s">
        <v>945</v>
      </c>
      <c r="D29" s="932"/>
      <c r="E29" s="962" t="str">
        <f>E22</f>
        <v xml:space="preserve"> </v>
      </c>
      <c r="F29" s="962" t="str">
        <f t="shared" ref="F29:I29" si="5">F22</f>
        <v xml:space="preserve"> </v>
      </c>
      <c r="G29" s="962" t="str">
        <f t="shared" si="5"/>
        <v xml:space="preserve"> </v>
      </c>
      <c r="H29" s="962" t="str">
        <f t="shared" si="5"/>
        <v xml:space="preserve"> </v>
      </c>
      <c r="I29" s="962" t="str">
        <f t="shared" si="5"/>
        <v xml:space="preserve"> </v>
      </c>
    </row>
    <row r="30" spans="2:9" ht="24" thickBot="1">
      <c r="C30" s="1160" t="s">
        <v>873</v>
      </c>
      <c r="D30" s="1161"/>
      <c r="E30" s="1161"/>
      <c r="F30" s="1161"/>
      <c r="G30" s="1161"/>
      <c r="H30" s="1161"/>
      <c r="I30" s="1161"/>
    </row>
    <row r="31" spans="2:9" ht="17.5" thickBot="1">
      <c r="C31" s="529" t="s">
        <v>869</v>
      </c>
      <c r="D31" s="530" t="s">
        <v>879</v>
      </c>
      <c r="E31" s="530" t="str">
        <f>E8</f>
        <v xml:space="preserve"> </v>
      </c>
      <c r="F31" s="530" t="str">
        <f>F8</f>
        <v xml:space="preserve"> </v>
      </c>
      <c r="G31" s="530" t="str">
        <f t="shared" ref="G31:I31" si="6">G8</f>
        <v xml:space="preserve"> </v>
      </c>
      <c r="H31" s="530" t="str">
        <f t="shared" si="6"/>
        <v xml:space="preserve"> </v>
      </c>
      <c r="I31" s="530" t="str">
        <f t="shared" si="6"/>
        <v xml:space="preserve"> </v>
      </c>
    </row>
    <row r="32" spans="2:9" ht="16" hidden="1" thickBot="1">
      <c r="B32" s="893" t="s">
        <v>920</v>
      </c>
      <c r="C32" s="531" t="s">
        <v>874</v>
      </c>
      <c r="D32" s="532" t="s">
        <v>875</v>
      </c>
      <c r="E32" s="958">
        <f>'A6a. Operations-Site 1'!E98</f>
        <v>0</v>
      </c>
      <c r="F32" s="958">
        <f>'A6b. Operations-Site 2'!E98</f>
        <v>0</v>
      </c>
      <c r="G32" s="958">
        <f>'A6c. Operations-Site 3'!E98</f>
        <v>0</v>
      </c>
      <c r="H32" s="958">
        <f>'A6d. Operations-Site 4'!E98</f>
        <v>0</v>
      </c>
      <c r="I32" s="958">
        <f>'A6e. Operations-Site 5'!E98</f>
        <v>0</v>
      </c>
    </row>
    <row r="33" spans="2:9" ht="47" thickBot="1">
      <c r="B33" s="893" t="s">
        <v>921</v>
      </c>
      <c r="C33" s="531" t="s">
        <v>876</v>
      </c>
      <c r="D33" s="532" t="s">
        <v>877</v>
      </c>
      <c r="E33" s="533"/>
      <c r="F33" s="533"/>
      <c r="G33" s="533"/>
      <c r="H33" s="533"/>
      <c r="I33" s="533"/>
    </row>
    <row r="36" spans="2:9" ht="24" hidden="1" thickBot="1">
      <c r="C36" s="959" t="s">
        <v>946</v>
      </c>
      <c r="D36" s="932"/>
      <c r="E36" s="961" t="str">
        <f>E28</f>
        <v xml:space="preserve"> </v>
      </c>
      <c r="F36" s="961" t="str">
        <f t="shared" ref="F36:I36" si="7">F28</f>
        <v xml:space="preserve"> </v>
      </c>
      <c r="G36" s="961" t="str">
        <f t="shared" si="7"/>
        <v xml:space="preserve"> </v>
      </c>
      <c r="H36" s="961" t="str">
        <f t="shared" si="7"/>
        <v xml:space="preserve"> </v>
      </c>
      <c r="I36" s="961" t="str">
        <f t="shared" si="7"/>
        <v xml:space="preserve"> </v>
      </c>
    </row>
    <row r="37" spans="2:9" ht="24" hidden="1" thickBot="1">
      <c r="C37" s="959" t="s">
        <v>945</v>
      </c>
      <c r="D37" s="932"/>
      <c r="E37" s="962" t="str">
        <f>E29</f>
        <v xml:space="preserve"> </v>
      </c>
      <c r="F37" s="962" t="str">
        <f t="shared" ref="F37:I37" si="8">F29</f>
        <v xml:space="preserve"> </v>
      </c>
      <c r="G37" s="962" t="str">
        <f t="shared" si="8"/>
        <v xml:space="preserve"> </v>
      </c>
      <c r="H37" s="962" t="str">
        <f t="shared" si="8"/>
        <v xml:space="preserve"> </v>
      </c>
      <c r="I37" s="962" t="str">
        <f t="shared" si="8"/>
        <v xml:space="preserve"> </v>
      </c>
    </row>
    <row r="38" spans="2:9" ht="24" thickBot="1">
      <c r="C38" s="1160" t="s">
        <v>878</v>
      </c>
      <c r="D38" s="1161"/>
      <c r="E38" s="1161"/>
      <c r="F38" s="1161"/>
      <c r="G38" s="1161"/>
      <c r="H38" s="1161"/>
      <c r="I38" s="1161"/>
    </row>
    <row r="39" spans="2:9" ht="17.5" thickBot="1">
      <c r="C39" s="529" t="s">
        <v>869</v>
      </c>
      <c r="D39" s="530" t="s">
        <v>879</v>
      </c>
      <c r="E39" s="530" t="str">
        <f>E8</f>
        <v xml:space="preserve"> </v>
      </c>
      <c r="F39" s="530" t="str">
        <f>F8</f>
        <v xml:space="preserve"> </v>
      </c>
      <c r="G39" s="530" t="str">
        <f t="shared" ref="G39:I39" si="9">G8</f>
        <v xml:space="preserve"> </v>
      </c>
      <c r="H39" s="530" t="str">
        <f t="shared" si="9"/>
        <v xml:space="preserve"> </v>
      </c>
      <c r="I39" s="530" t="str">
        <f t="shared" si="9"/>
        <v xml:space="preserve"> </v>
      </c>
    </row>
    <row r="40" spans="2:9" ht="47" thickBot="1">
      <c r="B40" s="893" t="s">
        <v>922</v>
      </c>
      <c r="C40" s="531" t="s">
        <v>966</v>
      </c>
      <c r="D40" s="532" t="s">
        <v>923</v>
      </c>
      <c r="E40" s="958"/>
      <c r="F40" s="958"/>
      <c r="G40" s="958"/>
      <c r="H40" s="958"/>
      <c r="I40" s="958"/>
    </row>
    <row r="42" spans="2:9" customFormat="1" ht="22.5" customHeight="1">
      <c r="C42" s="1162" t="s">
        <v>455</v>
      </c>
      <c r="D42" s="1163"/>
      <c r="E42" s="1163"/>
      <c r="F42" s="1163"/>
      <c r="G42" s="1163"/>
      <c r="H42" s="1163"/>
      <c r="I42" s="1163"/>
    </row>
    <row r="43" spans="2:9" customFormat="1" ht="15.5">
      <c r="C43" s="897" t="s">
        <v>450</v>
      </c>
      <c r="D43" s="898"/>
      <c r="E43" s="898"/>
      <c r="F43" s="899"/>
      <c r="G43" s="898"/>
      <c r="H43" s="898"/>
      <c r="I43" s="900"/>
    </row>
    <row r="44" spans="2:9" customFormat="1" ht="15.5">
      <c r="C44" s="901" t="s">
        <v>451</v>
      </c>
      <c r="D44" s="895"/>
      <c r="E44" s="895"/>
      <c r="F44" s="8"/>
      <c r="I44" s="873"/>
    </row>
    <row r="45" spans="2:9" customFormat="1" ht="15.5">
      <c r="C45" s="901" t="s">
        <v>452</v>
      </c>
      <c r="D45" s="895"/>
      <c r="E45" s="895"/>
      <c r="F45" s="8"/>
      <c r="I45" s="873"/>
    </row>
    <row r="46" spans="2:9" customFormat="1" ht="15.5">
      <c r="C46" s="901" t="s">
        <v>453</v>
      </c>
      <c r="D46" s="895"/>
      <c r="E46" s="895"/>
      <c r="F46" s="8"/>
      <c r="I46" s="873"/>
    </row>
    <row r="47" spans="2:9" customFormat="1" ht="15.5">
      <c r="B47" s="3"/>
      <c r="C47" s="901" t="s">
        <v>454</v>
      </c>
      <c r="D47" s="895"/>
      <c r="E47" s="895"/>
      <c r="F47" s="8"/>
      <c r="I47" s="873"/>
    </row>
    <row r="48" spans="2:9" customFormat="1" ht="15" thickBot="1">
      <c r="B48" s="3"/>
      <c r="C48" s="874"/>
      <c r="D48" s="875"/>
      <c r="E48" s="875"/>
      <c r="F48" s="902"/>
      <c r="G48" s="875"/>
      <c r="H48" s="875"/>
      <c r="I48" s="903"/>
    </row>
    <row r="49" spans="2:9" ht="24" hidden="1" thickBot="1">
      <c r="C49" s="959" t="s">
        <v>946</v>
      </c>
      <c r="D49" s="932"/>
      <c r="E49" s="961" t="str">
        <f>E36</f>
        <v xml:space="preserve"> </v>
      </c>
      <c r="F49" s="961" t="str">
        <f t="shared" ref="F49:I49" si="10">F36</f>
        <v xml:space="preserve"> </v>
      </c>
      <c r="G49" s="961" t="str">
        <f t="shared" si="10"/>
        <v xml:space="preserve"> </v>
      </c>
      <c r="H49" s="961" t="str">
        <f t="shared" si="10"/>
        <v xml:space="preserve"> </v>
      </c>
      <c r="I49" s="961" t="str">
        <f t="shared" si="10"/>
        <v xml:space="preserve"> </v>
      </c>
    </row>
    <row r="50" spans="2:9" ht="24" hidden="1" thickBot="1">
      <c r="C50" s="959" t="s">
        <v>945</v>
      </c>
      <c r="D50" s="932"/>
      <c r="E50" s="962" t="str">
        <f>E37</f>
        <v xml:space="preserve"> </v>
      </c>
      <c r="F50" s="962" t="str">
        <f t="shared" ref="F50:I50" si="11">F37</f>
        <v xml:space="preserve"> </v>
      </c>
      <c r="G50" s="962" t="str">
        <f t="shared" si="11"/>
        <v xml:space="preserve"> </v>
      </c>
      <c r="H50" s="962" t="str">
        <f t="shared" si="11"/>
        <v xml:space="preserve"> </v>
      </c>
      <c r="I50" s="962" t="str">
        <f t="shared" si="11"/>
        <v xml:space="preserve"> </v>
      </c>
    </row>
    <row r="51" spans="2:9" customFormat="1" ht="17.5" thickBot="1">
      <c r="B51" s="3"/>
      <c r="C51" s="530" t="s">
        <v>379</v>
      </c>
      <c r="D51" s="530" t="s">
        <v>370</v>
      </c>
      <c r="E51" s="530" t="str">
        <f>E8</f>
        <v xml:space="preserve"> </v>
      </c>
      <c r="F51" s="530" t="str">
        <f>F8</f>
        <v xml:space="preserve"> </v>
      </c>
      <c r="G51" s="530" t="str">
        <f t="shared" ref="G51:I51" si="12">G8</f>
        <v xml:space="preserve"> </v>
      </c>
      <c r="H51" s="530" t="str">
        <f t="shared" si="12"/>
        <v xml:space="preserve"> </v>
      </c>
      <c r="I51" s="530" t="str">
        <f t="shared" si="12"/>
        <v xml:space="preserve"> </v>
      </c>
    </row>
    <row r="52" spans="2:9" customFormat="1" ht="49.5" customHeight="1" thickBot="1">
      <c r="B52" s="893" t="s">
        <v>924</v>
      </c>
      <c r="C52" s="531" t="s">
        <v>367</v>
      </c>
      <c r="D52" s="532" t="s">
        <v>371</v>
      </c>
      <c r="E52" s="958"/>
      <c r="F52" s="958"/>
      <c r="G52" s="958"/>
      <c r="H52" s="958"/>
      <c r="I52" s="958"/>
    </row>
    <row r="53" spans="2:9" customFormat="1" ht="49.5" customHeight="1" thickBot="1">
      <c r="B53" s="894" t="s">
        <v>925</v>
      </c>
      <c r="C53" s="531" t="s">
        <v>368</v>
      </c>
      <c r="D53" s="532" t="s">
        <v>461</v>
      </c>
      <c r="E53" s="533"/>
      <c r="F53" s="533"/>
      <c r="G53" s="533"/>
      <c r="H53" s="533"/>
      <c r="I53" s="533"/>
    </row>
    <row r="54" spans="2:9" customFormat="1" ht="28" customHeight="1" thickBot="1">
      <c r="B54" s="893" t="s">
        <v>926</v>
      </c>
      <c r="C54" s="531" t="s">
        <v>369</v>
      </c>
      <c r="D54" s="532" t="s">
        <v>372</v>
      </c>
      <c r="E54" s="979"/>
      <c r="F54" s="979"/>
      <c r="G54" s="979"/>
      <c r="H54" s="979"/>
      <c r="I54" s="979"/>
    </row>
    <row r="57" spans="2:9" ht="24" hidden="1" thickBot="1">
      <c r="C57" s="959" t="s">
        <v>946</v>
      </c>
      <c r="D57" s="932"/>
      <c r="E57" s="961" t="str">
        <f t="shared" ref="E57:I58" si="13">E49</f>
        <v xml:space="preserve"> </v>
      </c>
      <c r="F57" s="961" t="str">
        <f t="shared" si="13"/>
        <v xml:space="preserve"> </v>
      </c>
      <c r="G57" s="961" t="str">
        <f t="shared" si="13"/>
        <v xml:space="preserve"> </v>
      </c>
      <c r="H57" s="961" t="str">
        <f t="shared" si="13"/>
        <v xml:space="preserve"> </v>
      </c>
      <c r="I57" s="961" t="str">
        <f t="shared" si="13"/>
        <v xml:space="preserve"> </v>
      </c>
    </row>
    <row r="58" spans="2:9" ht="24" hidden="1" thickBot="1">
      <c r="C58" s="959" t="s">
        <v>945</v>
      </c>
      <c r="D58" s="932"/>
      <c r="E58" s="962" t="str">
        <f t="shared" si="13"/>
        <v xml:space="preserve"> </v>
      </c>
      <c r="F58" s="962" t="str">
        <f t="shared" si="13"/>
        <v xml:space="preserve"> </v>
      </c>
      <c r="G58" s="962" t="str">
        <f t="shared" si="13"/>
        <v xml:space="preserve"> </v>
      </c>
      <c r="H58" s="962" t="str">
        <f t="shared" si="13"/>
        <v xml:space="preserve"> </v>
      </c>
      <c r="I58" s="962" t="str">
        <f t="shared" si="13"/>
        <v xml:space="preserve"> </v>
      </c>
    </row>
    <row r="59" spans="2:9" customFormat="1" ht="28" customHeight="1" thickBot="1">
      <c r="C59" s="1160" t="s">
        <v>769</v>
      </c>
      <c r="D59" s="1161"/>
      <c r="E59" s="1161"/>
      <c r="F59" s="1161"/>
      <c r="G59" s="1161"/>
      <c r="H59" s="1161"/>
      <c r="I59" s="1161"/>
    </row>
    <row r="60" spans="2:9" customFormat="1" ht="17.5" thickBot="1">
      <c r="C60" s="529" t="s">
        <v>379</v>
      </c>
      <c r="D60" s="956" t="s">
        <v>370</v>
      </c>
      <c r="E60" s="530" t="str">
        <f>E8</f>
        <v xml:space="preserve"> </v>
      </c>
      <c r="F60" s="530" t="str">
        <f>F8</f>
        <v xml:space="preserve"> </v>
      </c>
      <c r="G60" s="530" t="str">
        <f>G8</f>
        <v xml:space="preserve"> </v>
      </c>
      <c r="H60" s="530" t="str">
        <f>H8</f>
        <v xml:space="preserve"> </v>
      </c>
      <c r="I60" s="530" t="str">
        <f>I8</f>
        <v xml:space="preserve"> </v>
      </c>
    </row>
    <row r="61" spans="2:9" s="9" customFormat="1" ht="66" customHeight="1" thickBot="1">
      <c r="B61" s="893" t="s">
        <v>927</v>
      </c>
      <c r="C61" s="531" t="s">
        <v>548</v>
      </c>
      <c r="D61" s="957" t="s">
        <v>865</v>
      </c>
      <c r="E61" s="896"/>
      <c r="F61" s="896"/>
      <c r="G61" s="896"/>
      <c r="H61" s="896"/>
      <c r="I61" s="896"/>
    </row>
    <row r="62" spans="2:9" s="9" customFormat="1" ht="31.5" thickBot="1">
      <c r="B62" s="894" t="s">
        <v>928</v>
      </c>
      <c r="C62" s="531" t="s">
        <v>561</v>
      </c>
      <c r="D62" s="957" t="s">
        <v>811</v>
      </c>
      <c r="E62" s="896"/>
      <c r="F62" s="896"/>
      <c r="G62" s="896"/>
      <c r="H62" s="896"/>
      <c r="I62" s="896"/>
    </row>
  </sheetData>
  <sheetProtection algorithmName="SHA-512" hashValue="R7hwrRFvvz7Uo442xqz8QRuwBQX1PlkTQE2hmLcYmeIYtNTAblWnVXQnAAJLXK364FhEVdH5JDNLQHI9nM2+og==" saltValue="xr4yU8TBYewBNq78zCGilw==" spinCount="100000" sheet="1" objects="1" scenarios="1"/>
  <protectedRanges>
    <protectedRange sqref="E61:I62 E54:I54" name="allow_3"/>
  </protectedRanges>
  <mergeCells count="10">
    <mergeCell ref="C38:I38"/>
    <mergeCell ref="C42:I42"/>
    <mergeCell ref="C59:I59"/>
    <mergeCell ref="C2:E2"/>
    <mergeCell ref="C3:E3"/>
    <mergeCell ref="C5:E5"/>
    <mergeCell ref="C30:I30"/>
    <mergeCell ref="C9:E9"/>
    <mergeCell ref="C16:E16"/>
    <mergeCell ref="C23:E23"/>
  </mergeCells>
  <conditionalFormatting sqref="B11:B12">
    <cfRule type="expression" dxfId="143" priority="46">
      <formula>AND(ISNUMBER(#REF!), E11="")</formula>
    </cfRule>
  </conditionalFormatting>
  <conditionalFormatting sqref="B18:B19">
    <cfRule type="expression" dxfId="142" priority="47">
      <formula>AND(ISNUMBER(#REF!), E18="")</formula>
    </cfRule>
  </conditionalFormatting>
  <conditionalFormatting sqref="B25:B26">
    <cfRule type="expression" dxfId="141" priority="48">
      <formula>AND(ISNUMBER(#REF!), E25="")</formula>
    </cfRule>
  </conditionalFormatting>
  <conditionalFormatting sqref="B32:B33">
    <cfRule type="expression" dxfId="140" priority="1">
      <formula>AND(ISNUMBER(#REF!), E32="")</formula>
    </cfRule>
  </conditionalFormatting>
  <conditionalFormatting sqref="B40">
    <cfRule type="expression" dxfId="139" priority="50">
      <formula>AND(ISNUMBER(#REF!), E40="")</formula>
    </cfRule>
  </conditionalFormatting>
  <conditionalFormatting sqref="B52:B54">
    <cfRule type="expression" dxfId="138" priority="51">
      <formula>AND(ISNUMBER(#REF!), E52="")</formula>
    </cfRule>
  </conditionalFormatting>
  <conditionalFormatting sqref="B61:B62">
    <cfRule type="expression" dxfId="137" priority="54">
      <formula>AND(ISNUMBER(#REF!), E61="")</formula>
    </cfRule>
  </conditionalFormatting>
  <conditionalFormatting sqref="E11:E12">
    <cfRule type="cellIs" dxfId="136" priority="21" operator="equal">
      <formula>""</formula>
    </cfRule>
  </conditionalFormatting>
  <conditionalFormatting sqref="E18:E19">
    <cfRule type="cellIs" dxfId="135" priority="10" operator="equal">
      <formula>""</formula>
    </cfRule>
  </conditionalFormatting>
  <conditionalFormatting sqref="E25:E26">
    <cfRule type="cellIs" dxfId="134" priority="8" operator="equal">
      <formula>""</formula>
    </cfRule>
  </conditionalFormatting>
  <conditionalFormatting sqref="E32:I33">
    <cfRule type="cellIs" dxfId="133" priority="6" operator="equal">
      <formula>""</formula>
    </cfRule>
  </conditionalFormatting>
  <conditionalFormatting sqref="E40:I40">
    <cfRule type="cellIs" dxfId="132" priority="5" operator="equal">
      <formula>""</formula>
    </cfRule>
  </conditionalFormatting>
  <conditionalFormatting sqref="E52:I54">
    <cfRule type="cellIs" dxfId="131" priority="2" operator="equal">
      <formula>""</formula>
    </cfRule>
  </conditionalFormatting>
  <conditionalFormatting sqref="E61:I62">
    <cfRule type="cellIs" dxfId="130" priority="13" operator="equal">
      <formula>""</formula>
    </cfRule>
  </conditionalFormatting>
  <pageMargins left="0.7" right="0.7" top="0.75" bottom="0.75" header="0.3" footer="0.3"/>
  <pageSetup scale="3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3DFD0-1BBF-4F9A-BE90-100F4E7E5551}">
  <sheetPr>
    <tabColor theme="9" tint="0.59999389629810485"/>
  </sheetPr>
  <dimension ref="B1:Q109"/>
  <sheetViews>
    <sheetView showGridLines="0" zoomScaleNormal="100" workbookViewId="0">
      <pane ySplit="3" topLeftCell="A4" activePane="bottomLeft" state="frozen"/>
      <selection pane="bottomLeft" activeCell="D7" sqref="D7"/>
    </sheetView>
  </sheetViews>
  <sheetFormatPr defaultColWidth="8.7265625" defaultRowHeight="14.5"/>
  <cols>
    <col min="1" max="1" width="4.26953125" style="30" customWidth="1"/>
    <col min="2" max="2" width="69.7265625" style="29" customWidth="1"/>
    <col min="3" max="3" width="9.7265625" style="30" customWidth="1"/>
    <col min="4" max="4" width="20.26953125" style="30" customWidth="1"/>
    <col min="5" max="5" width="13.7265625" style="29" customWidth="1"/>
    <col min="6" max="6" width="3.7265625" style="29" customWidth="1"/>
    <col min="7" max="7" width="16.453125" style="29" customWidth="1"/>
    <col min="8" max="8" width="18.1796875" style="29" customWidth="1"/>
    <col min="9" max="9" width="14" style="29" customWidth="1"/>
    <col min="10" max="10" width="5" style="29" bestFit="1" customWidth="1"/>
    <col min="11" max="17" width="9.1796875" style="29" customWidth="1"/>
    <col min="18" max="16384" width="8.7265625" style="30"/>
  </cols>
  <sheetData>
    <row r="1" spans="2:17" ht="20.5" customHeight="1">
      <c r="B1" s="1091" t="str">
        <f>IF('A1. Identification'!D7=0, "2025 FAIR, CWELCC and OTEF Reconciliation for Multi Site Operators",'A1. Identification'!D7)</f>
        <v>2025 FAIR, CWELCC and OTEF Reconciliation for Multi Site Operators</v>
      </c>
      <c r="C1" s="1091"/>
      <c r="D1" s="1091"/>
      <c r="E1" s="1091"/>
      <c r="F1" s="1091"/>
      <c r="G1" s="1091"/>
      <c r="H1" s="109" t="s">
        <v>109</v>
      </c>
      <c r="I1" s="110" t="str">
        <f>IF('A1. Identification'!$D$13=0, " ",'A1. Identification'!$D$13)</f>
        <v xml:space="preserve"> </v>
      </c>
    </row>
    <row r="2" spans="2:17" s="29" customFormat="1" ht="23.25" customHeight="1">
      <c r="B2" s="1091" t="s">
        <v>131</v>
      </c>
      <c r="C2" s="1091"/>
      <c r="D2" s="1091"/>
      <c r="E2" s="1091"/>
      <c r="F2" s="1091"/>
      <c r="G2" s="1091"/>
      <c r="H2" s="887"/>
      <c r="I2" s="888"/>
    </row>
    <row r="3" spans="2:17" s="29" customFormat="1" ht="21.75" customHeight="1">
      <c r="B3" s="1091" t="str">
        <f>"For The Year Ended " &amp;TEXT('A1. Identification'!D8,"mmmm d, yyyy")</f>
        <v>For The Year Ended January 0, 1900</v>
      </c>
      <c r="C3" s="1091"/>
      <c r="D3" s="1091"/>
      <c r="E3" s="1091"/>
      <c r="F3" s="1091"/>
      <c r="G3" s="1091"/>
    </row>
    <row r="4" spans="2:17" s="29" customFormat="1" ht="15" thickBot="1"/>
    <row r="5" spans="2:17" s="29" customFormat="1" ht="15.5">
      <c r="B5" s="59" t="s">
        <v>132</v>
      </c>
      <c r="C5" s="65"/>
      <c r="D5" s="65"/>
      <c r="E5" s="65"/>
      <c r="F5" s="65"/>
      <c r="G5" s="66"/>
    </row>
    <row r="6" spans="2:17" s="29" customFormat="1" ht="6.75" customHeight="1">
      <c r="B6" s="31"/>
      <c r="G6" s="32"/>
    </row>
    <row r="7" spans="2:17" s="29" customFormat="1" ht="15.5">
      <c r="B7" s="26" t="s">
        <v>133</v>
      </c>
      <c r="C7" s="21">
        <v>110</v>
      </c>
      <c r="D7" s="23"/>
      <c r="E7" s="9"/>
      <c r="F7" s="9"/>
      <c r="G7" s="11"/>
      <c r="H7" s="9"/>
      <c r="I7" s="9"/>
      <c r="J7" s="9"/>
    </row>
    <row r="8" spans="2:17" s="29" customFormat="1" ht="14.5" customHeight="1">
      <c r="B8" s="26" t="s">
        <v>134</v>
      </c>
      <c r="C8" s="21" t="s">
        <v>135</v>
      </c>
      <c r="D8" s="23"/>
      <c r="E8" s="9"/>
      <c r="F8" s="9"/>
      <c r="G8" s="11"/>
      <c r="H8" s="9"/>
      <c r="I8" s="9"/>
      <c r="J8" s="9"/>
    </row>
    <row r="9" spans="2:17" ht="14.5" customHeight="1">
      <c r="B9" s="28" t="s">
        <v>136</v>
      </c>
      <c r="C9" s="21">
        <v>111</v>
      </c>
      <c r="D9" s="23"/>
      <c r="E9" s="9"/>
      <c r="F9" s="9"/>
      <c r="G9" s="11"/>
      <c r="H9" s="9"/>
      <c r="I9" s="9"/>
      <c r="J9" s="9"/>
    </row>
    <row r="10" spans="2:17" ht="15.5">
      <c r="B10" s="28" t="s">
        <v>137</v>
      </c>
      <c r="C10" s="21" t="s">
        <v>138</v>
      </c>
      <c r="D10" s="23"/>
      <c r="E10" s="9"/>
      <c r="F10" s="9"/>
      <c r="G10" s="11"/>
      <c r="H10" s="9"/>
      <c r="I10" s="9"/>
      <c r="J10" s="9"/>
    </row>
    <row r="11" spans="2:17" ht="15.5">
      <c r="B11" s="28" t="s">
        <v>139</v>
      </c>
      <c r="C11" s="21">
        <v>112</v>
      </c>
      <c r="D11" s="23"/>
      <c r="E11" s="9"/>
      <c r="F11" s="9"/>
      <c r="G11" s="11"/>
      <c r="H11" s="9"/>
      <c r="I11" s="9"/>
      <c r="J11" s="9"/>
    </row>
    <row r="12" spans="2:17" s="5" customFormat="1" ht="15.5">
      <c r="B12" s="33" t="s">
        <v>140</v>
      </c>
      <c r="C12" s="21">
        <v>113</v>
      </c>
      <c r="D12" s="34">
        <f>SUM(D7:D11)</f>
        <v>0</v>
      </c>
      <c r="E12" s="35"/>
      <c r="F12" s="35"/>
      <c r="G12" s="11"/>
      <c r="H12" s="35"/>
      <c r="I12" s="35"/>
      <c r="J12" s="35"/>
      <c r="K12" s="4"/>
      <c r="L12" s="4"/>
      <c r="M12" s="4"/>
      <c r="N12" s="4"/>
      <c r="O12" s="4"/>
      <c r="P12" s="4"/>
      <c r="Q12" s="4"/>
    </row>
    <row r="13" spans="2:17" ht="15.5">
      <c r="B13" s="60"/>
      <c r="C13" s="420"/>
      <c r="D13" s="421"/>
      <c r="E13" s="420"/>
      <c r="F13" s="9"/>
      <c r="G13" s="11"/>
      <c r="H13" s="9"/>
      <c r="I13" s="9"/>
      <c r="J13" s="9"/>
    </row>
    <row r="14" spans="2:17" ht="15.5">
      <c r="B14" s="28" t="s">
        <v>141</v>
      </c>
      <c r="C14" s="21">
        <v>114</v>
      </c>
      <c r="D14" s="23"/>
      <c r="E14" s="14"/>
      <c r="F14" s="14"/>
      <c r="G14" s="81"/>
      <c r="H14" s="14"/>
      <c r="I14" s="14"/>
      <c r="J14" s="14"/>
    </row>
    <row r="15" spans="2:17" ht="15.5">
      <c r="B15" s="28" t="s">
        <v>139</v>
      </c>
      <c r="C15" s="36">
        <v>115</v>
      </c>
      <c r="D15" s="37"/>
      <c r="E15" s="9"/>
      <c r="F15" s="9"/>
      <c r="G15" s="11"/>
      <c r="H15" s="9"/>
      <c r="I15" s="9"/>
      <c r="J15" s="9"/>
    </row>
    <row r="16" spans="2:17" s="5" customFormat="1" ht="15.5">
      <c r="B16" s="38" t="s">
        <v>142</v>
      </c>
      <c r="C16" s="21">
        <v>116</v>
      </c>
      <c r="D16" s="39">
        <f>SUM(D14:D15)</f>
        <v>0</v>
      </c>
      <c r="E16" s="35"/>
      <c r="F16" s="35"/>
      <c r="G16" s="11"/>
      <c r="H16" s="35"/>
      <c r="I16" s="35"/>
      <c r="J16" s="35"/>
      <c r="K16" s="4"/>
      <c r="L16" s="4"/>
      <c r="M16" s="4"/>
      <c r="N16" s="4"/>
      <c r="O16" s="4"/>
      <c r="P16" s="4"/>
      <c r="Q16" s="4"/>
    </row>
    <row r="17" spans="2:17" s="5" customFormat="1" ht="15.5">
      <c r="B17" s="38"/>
      <c r="C17" s="421"/>
      <c r="D17" s="420"/>
      <c r="E17" s="35"/>
      <c r="F17" s="35"/>
      <c r="G17" s="11"/>
      <c r="H17" s="35"/>
      <c r="I17" s="35"/>
      <c r="J17" s="35"/>
      <c r="K17" s="4"/>
      <c r="L17" s="4"/>
      <c r="M17" s="4"/>
      <c r="N17" s="4"/>
      <c r="O17" s="4"/>
      <c r="P17" s="4"/>
      <c r="Q17" s="4"/>
    </row>
    <row r="18" spans="2:17" ht="15.5">
      <c r="B18" s="28" t="s">
        <v>143</v>
      </c>
      <c r="C18" s="21">
        <v>117</v>
      </c>
      <c r="D18" s="23"/>
      <c r="E18" s="9"/>
      <c r="F18" s="9"/>
      <c r="G18" s="11"/>
      <c r="H18" s="9"/>
      <c r="I18" s="9"/>
      <c r="J18" s="9"/>
    </row>
    <row r="19" spans="2:17" ht="15.5">
      <c r="B19" s="38"/>
      <c r="C19" s="421"/>
      <c r="D19" s="420"/>
      <c r="E19" s="9"/>
      <c r="F19" s="9"/>
      <c r="G19" s="11"/>
      <c r="H19" s="9"/>
      <c r="I19" s="9"/>
      <c r="J19" s="9"/>
    </row>
    <row r="20" spans="2:17" s="7" customFormat="1" ht="15.5">
      <c r="B20" s="61" t="s">
        <v>144</v>
      </c>
      <c r="C20" s="24">
        <v>118</v>
      </c>
      <c r="D20" s="40">
        <f>ROUND(+D16+D12+D18,0)</f>
        <v>0</v>
      </c>
      <c r="E20" s="12"/>
      <c r="F20" s="12"/>
      <c r="G20" s="15"/>
      <c r="H20" s="12"/>
      <c r="I20" s="12"/>
      <c r="J20" s="12"/>
      <c r="K20" s="6"/>
      <c r="L20" s="6"/>
      <c r="M20" s="6"/>
      <c r="N20" s="6"/>
      <c r="O20" s="6"/>
      <c r="P20" s="6"/>
      <c r="Q20" s="6"/>
    </row>
    <row r="21" spans="2:17" ht="15.5">
      <c r="B21" s="13"/>
      <c r="C21" s="9"/>
      <c r="D21" s="9"/>
      <c r="E21" s="9"/>
      <c r="F21" s="9"/>
      <c r="G21" s="11"/>
      <c r="H21" s="9"/>
      <c r="I21" s="9"/>
      <c r="J21" s="9"/>
    </row>
    <row r="22" spans="2:17" ht="2.5" customHeight="1">
      <c r="B22" s="13"/>
      <c r="C22" s="9"/>
      <c r="D22" s="9"/>
      <c r="E22" s="9"/>
      <c r="F22" s="9"/>
      <c r="G22" s="11"/>
      <c r="H22" s="9"/>
      <c r="I22" s="9"/>
      <c r="J22" s="9"/>
    </row>
    <row r="23" spans="2:17" ht="15.5">
      <c r="B23" s="62" t="s">
        <v>145</v>
      </c>
      <c r="C23" s="422"/>
      <c r="D23" s="422"/>
      <c r="E23" s="422"/>
      <c r="F23" s="422"/>
      <c r="G23" s="67"/>
      <c r="H23" s="9"/>
      <c r="I23" s="9"/>
      <c r="J23" s="9"/>
    </row>
    <row r="24" spans="2:17" ht="15.5">
      <c r="B24" s="26" t="s">
        <v>146</v>
      </c>
      <c r="C24" s="41">
        <v>210</v>
      </c>
      <c r="D24" s="23"/>
      <c r="E24" s="9"/>
      <c r="F24" s="9"/>
      <c r="G24" s="11"/>
      <c r="H24" s="9"/>
      <c r="I24" s="9"/>
      <c r="J24" s="9"/>
    </row>
    <row r="25" spans="2:17" ht="15.5">
      <c r="B25" s="28" t="s">
        <v>147</v>
      </c>
      <c r="C25" s="41">
        <v>211</v>
      </c>
      <c r="D25" s="23"/>
      <c r="E25" s="9"/>
      <c r="F25" s="9"/>
      <c r="G25" s="11"/>
      <c r="H25" s="9"/>
      <c r="I25" s="9"/>
      <c r="J25" s="9"/>
    </row>
    <row r="26" spans="2:17" ht="15.5">
      <c r="B26" s="28" t="s">
        <v>148</v>
      </c>
      <c r="C26" s="41" t="s">
        <v>149</v>
      </c>
      <c r="D26" s="554">
        <f>'A9. SummaryOfReconciliations '!E26</f>
        <v>0</v>
      </c>
      <c r="E26" s="14"/>
      <c r="F26" s="9"/>
      <c r="G26" s="11"/>
      <c r="H26" s="9"/>
      <c r="I26" s="9"/>
      <c r="J26" s="9"/>
    </row>
    <row r="27" spans="2:17" ht="15.5">
      <c r="B27" s="28" t="s">
        <v>150</v>
      </c>
      <c r="C27" s="21">
        <v>212</v>
      </c>
      <c r="D27" s="23"/>
      <c r="E27" s="14"/>
      <c r="F27" s="9"/>
      <c r="G27" s="11"/>
      <c r="H27" s="9"/>
      <c r="I27" s="9"/>
      <c r="J27" s="9"/>
    </row>
    <row r="28" spans="2:17" ht="15.5">
      <c r="B28" s="100" t="s">
        <v>829</v>
      </c>
      <c r="C28" s="99" t="s">
        <v>407</v>
      </c>
      <c r="D28" s="554">
        <f>'A3. Peel Region Grants'!I76</f>
        <v>0</v>
      </c>
      <c r="E28" s="14"/>
      <c r="F28" s="9"/>
      <c r="G28" s="11"/>
      <c r="H28" s="14"/>
      <c r="I28" s="9"/>
      <c r="J28" s="9"/>
    </row>
    <row r="29" spans="2:17" ht="15.5">
      <c r="B29" s="100" t="s">
        <v>830</v>
      </c>
      <c r="C29" s="99" t="s">
        <v>408</v>
      </c>
      <c r="D29" s="554">
        <f>'A3. Peel Region Grants'!F144</f>
        <v>0</v>
      </c>
      <c r="E29" s="14"/>
      <c r="F29" s="14"/>
      <c r="G29" s="81"/>
      <c r="H29" s="14"/>
      <c r="I29" s="14"/>
      <c r="J29" s="9"/>
    </row>
    <row r="30" spans="2:17" ht="15.5">
      <c r="B30" s="28" t="s">
        <v>151</v>
      </c>
      <c r="C30" s="21">
        <v>213</v>
      </c>
      <c r="D30" s="23"/>
      <c r="E30" s="9"/>
      <c r="F30" s="9"/>
      <c r="G30" s="81"/>
      <c r="H30" s="14"/>
      <c r="I30" s="9"/>
      <c r="J30" s="9"/>
    </row>
    <row r="31" spans="2:17" ht="15.75" customHeight="1">
      <c r="B31" s="28" t="s">
        <v>139</v>
      </c>
      <c r="C31" s="21">
        <v>214</v>
      </c>
      <c r="D31" s="23"/>
      <c r="F31" s="9"/>
      <c r="G31" s="1175"/>
      <c r="H31" s="14"/>
      <c r="I31" s="9"/>
      <c r="J31" s="9"/>
    </row>
    <row r="32" spans="2:17" ht="15.75" customHeight="1">
      <c r="B32" s="38" t="s">
        <v>152</v>
      </c>
      <c r="C32" s="21">
        <v>215</v>
      </c>
      <c r="D32" s="22">
        <f>SUM(D24:D31)</f>
        <v>0</v>
      </c>
      <c r="E32" s="353"/>
      <c r="F32" s="9"/>
      <c r="G32" s="1175"/>
      <c r="H32" s="9"/>
      <c r="I32" s="9"/>
      <c r="J32" s="9"/>
    </row>
    <row r="33" spans="2:17" ht="16.5" customHeight="1">
      <c r="B33" s="28"/>
      <c r="C33" s="421"/>
      <c r="D33" s="420"/>
      <c r="E33" s="353"/>
      <c r="F33" s="9"/>
      <c r="G33" s="1175"/>
      <c r="H33" s="9"/>
      <c r="I33" s="9"/>
      <c r="Q33" s="30"/>
    </row>
    <row r="34" spans="2:17" ht="15.5">
      <c r="B34" s="28" t="s">
        <v>153</v>
      </c>
      <c r="C34" s="21">
        <v>216</v>
      </c>
      <c r="D34" s="23"/>
      <c r="E34" s="353"/>
      <c r="F34" s="9"/>
      <c r="G34" s="869"/>
      <c r="H34" s="86" t="s">
        <v>907</v>
      </c>
      <c r="I34" s="14"/>
      <c r="J34" s="30"/>
      <c r="K34" s="30"/>
      <c r="L34" s="30"/>
      <c r="M34" s="30"/>
      <c r="Q34" s="30"/>
    </row>
    <row r="35" spans="2:17" ht="15.5">
      <c r="B35" s="28" t="s">
        <v>154</v>
      </c>
      <c r="C35" s="21">
        <v>217</v>
      </c>
      <c r="D35" s="23"/>
      <c r="E35" s="353"/>
      <c r="F35" s="9"/>
      <c r="G35" s="11"/>
      <c r="H35" s="86"/>
      <c r="I35" s="14"/>
      <c r="J35" s="30"/>
      <c r="K35" s="30"/>
      <c r="L35" s="30"/>
      <c r="Q35" s="30"/>
    </row>
    <row r="36" spans="2:17" s="5" customFormat="1" ht="15.5">
      <c r="B36" s="38" t="s">
        <v>155</v>
      </c>
      <c r="C36" s="42">
        <v>218</v>
      </c>
      <c r="D36" s="22">
        <f>+D34+D35</f>
        <v>0</v>
      </c>
      <c r="E36" s="353"/>
      <c r="F36" s="35"/>
      <c r="G36" s="1175"/>
      <c r="H36" s="35"/>
      <c r="I36" s="35"/>
      <c r="J36" s="4"/>
      <c r="K36" s="4"/>
      <c r="L36" s="4"/>
      <c r="M36" s="4"/>
      <c r="N36" s="4"/>
      <c r="O36" s="4"/>
      <c r="P36" s="4"/>
    </row>
    <row r="37" spans="2:17" s="5" customFormat="1" ht="15.5">
      <c r="B37" s="38"/>
      <c r="C37" s="421"/>
      <c r="D37" s="420"/>
      <c r="E37" s="353"/>
      <c r="F37" s="35"/>
      <c r="G37" s="1175"/>
      <c r="H37" s="35"/>
      <c r="I37" s="35"/>
      <c r="J37" s="4"/>
      <c r="K37" s="4"/>
      <c r="L37" s="4"/>
      <c r="M37" s="4"/>
      <c r="N37" s="4"/>
      <c r="O37" s="4"/>
      <c r="P37" s="4"/>
    </row>
    <row r="38" spans="2:17" ht="15.5">
      <c r="B38" s="28" t="s">
        <v>156</v>
      </c>
      <c r="C38" s="21">
        <v>219</v>
      </c>
      <c r="D38" s="23"/>
      <c r="E38" s="9"/>
      <c r="F38" s="9"/>
      <c r="G38" s="1175"/>
      <c r="H38" s="9"/>
      <c r="I38" s="9"/>
      <c r="J38" s="9"/>
    </row>
    <row r="39" spans="2:17" ht="15.5">
      <c r="B39" s="19"/>
      <c r="C39" s="421"/>
      <c r="D39" s="420"/>
      <c r="E39" s="9"/>
      <c r="F39" s="9"/>
      <c r="G39" s="11"/>
      <c r="H39" s="9"/>
      <c r="I39" s="9"/>
      <c r="J39" s="9"/>
    </row>
    <row r="40" spans="2:17" s="7" customFormat="1" ht="15.5">
      <c r="B40" s="43" t="s">
        <v>157</v>
      </c>
      <c r="C40" s="44">
        <v>220</v>
      </c>
      <c r="D40" s="40">
        <f>ROUND(+D36+D32+D38,0)</f>
        <v>0</v>
      </c>
      <c r="E40" s="423"/>
      <c r="F40" s="12"/>
      <c r="G40" s="15"/>
      <c r="H40" s="12"/>
      <c r="I40" s="12"/>
      <c r="J40" s="12"/>
      <c r="K40" s="6"/>
      <c r="L40" s="6"/>
      <c r="M40" s="6"/>
      <c r="N40" s="6"/>
      <c r="O40" s="6"/>
      <c r="P40" s="6"/>
      <c r="Q40" s="6"/>
    </row>
    <row r="41" spans="2:17" ht="15.5">
      <c r="B41" s="13"/>
      <c r="C41" s="9"/>
      <c r="D41" s="9"/>
      <c r="E41" s="9"/>
      <c r="F41" s="9"/>
      <c r="G41" s="11"/>
      <c r="H41" s="9"/>
      <c r="I41" s="9"/>
      <c r="J41" s="9"/>
    </row>
    <row r="42" spans="2:17" ht="4.25" customHeight="1">
      <c r="B42" s="13"/>
      <c r="C42" s="9"/>
      <c r="D42" s="9"/>
      <c r="E42" s="9"/>
      <c r="F42" s="9"/>
      <c r="G42" s="11"/>
      <c r="H42" s="9"/>
      <c r="I42" s="9"/>
      <c r="J42" s="9"/>
    </row>
    <row r="43" spans="2:17" ht="15.5">
      <c r="B43" s="25" t="s">
        <v>158</v>
      </c>
      <c r="C43" s="9"/>
      <c r="D43" s="9"/>
      <c r="E43" s="9"/>
      <c r="F43" s="9"/>
      <c r="G43" s="11"/>
      <c r="H43" s="9"/>
      <c r="I43" s="14"/>
      <c r="J43" s="14"/>
      <c r="K43" s="30"/>
    </row>
    <row r="44" spans="2:17" ht="15.5">
      <c r="B44" s="28" t="s">
        <v>159</v>
      </c>
      <c r="C44" s="42">
        <v>500</v>
      </c>
      <c r="D44" s="45">
        <f>D58</f>
        <v>0</v>
      </c>
      <c r="E44" s="9"/>
      <c r="F44" s="9"/>
      <c r="G44" s="11"/>
      <c r="H44" s="9"/>
      <c r="I44" s="9"/>
      <c r="J44" s="9"/>
    </row>
    <row r="45" spans="2:17" ht="15.5">
      <c r="B45" s="28" t="s">
        <v>160</v>
      </c>
      <c r="C45" s="42">
        <v>502</v>
      </c>
      <c r="D45" s="46"/>
      <c r="E45" s="9"/>
      <c r="F45" s="9"/>
      <c r="G45" s="11"/>
      <c r="H45" s="9"/>
      <c r="I45" s="9"/>
      <c r="J45" s="9"/>
    </row>
    <row r="46" spans="2:17" ht="15.5">
      <c r="B46" s="28" t="s">
        <v>139</v>
      </c>
      <c r="C46" s="42">
        <v>513</v>
      </c>
      <c r="D46" s="46"/>
      <c r="E46" s="9"/>
      <c r="F46" s="9"/>
      <c r="G46" s="11"/>
      <c r="H46" s="9"/>
      <c r="I46" s="9"/>
      <c r="J46" s="9"/>
    </row>
    <row r="47" spans="2:17" s="7" customFormat="1" ht="15.5">
      <c r="B47" s="43" t="s">
        <v>161</v>
      </c>
      <c r="C47" s="44">
        <v>520</v>
      </c>
      <c r="D47" s="47">
        <f>ROUND(+D44+D46+D45,0)</f>
        <v>0</v>
      </c>
      <c r="E47" s="12"/>
      <c r="F47" s="12"/>
      <c r="G47" s="15"/>
      <c r="H47" s="12"/>
      <c r="I47" s="12"/>
      <c r="J47" s="12"/>
      <c r="K47" s="6"/>
      <c r="L47" s="6"/>
      <c r="M47" s="6"/>
      <c r="N47" s="6"/>
      <c r="O47" s="6"/>
      <c r="P47" s="6"/>
      <c r="Q47" s="6"/>
    </row>
    <row r="48" spans="2:17" s="7" customFormat="1" ht="15.5">
      <c r="B48" s="43"/>
      <c r="C48" s="12"/>
      <c r="D48" s="424"/>
      <c r="E48" s="12"/>
      <c r="F48" s="12"/>
      <c r="G48" s="15"/>
      <c r="H48" s="12"/>
      <c r="I48" s="12"/>
      <c r="J48" s="12"/>
      <c r="K48" s="6"/>
      <c r="L48" s="6"/>
      <c r="M48" s="6"/>
      <c r="N48" s="6"/>
      <c r="O48" s="6"/>
      <c r="P48" s="6"/>
      <c r="Q48" s="6"/>
    </row>
    <row r="49" spans="2:10" ht="15.5">
      <c r="B49" s="63" t="s">
        <v>162</v>
      </c>
      <c r="C49" s="24">
        <v>550</v>
      </c>
      <c r="D49" s="40">
        <f>ROUND(+D47+D40,0)</f>
        <v>0</v>
      </c>
      <c r="E49" s="9"/>
      <c r="F49" s="9"/>
      <c r="G49" s="11"/>
      <c r="H49" s="9"/>
      <c r="I49" s="9"/>
      <c r="J49" s="9"/>
    </row>
    <row r="50" spans="2:10" ht="15.5">
      <c r="B50" s="43"/>
      <c r="C50" s="425"/>
      <c r="D50" s="64"/>
      <c r="E50" s="9"/>
      <c r="F50" s="9"/>
      <c r="G50" s="11"/>
      <c r="H50" s="9"/>
      <c r="I50" s="9"/>
      <c r="J50" s="9"/>
    </row>
    <row r="51" spans="2:10" ht="18.5">
      <c r="B51" s="1176" t="str">
        <f>IF(D20=D40+D47," ","NOT BALANCED DIFFERENCE OF $"&amp;(D20-D40-D47))</f>
        <v xml:space="preserve"> </v>
      </c>
      <c r="C51" s="1177"/>
      <c r="D51" s="1177"/>
      <c r="E51" s="14"/>
      <c r="F51" s="9"/>
      <c r="G51" s="11"/>
      <c r="H51" s="9"/>
      <c r="I51" s="9"/>
      <c r="J51" s="9"/>
    </row>
    <row r="52" spans="2:10" ht="15.5">
      <c r="B52" s="43"/>
      <c r="C52" s="425"/>
      <c r="D52" s="64"/>
      <c r="E52" s="9"/>
      <c r="F52" s="9"/>
      <c r="G52" s="11"/>
      <c r="H52" s="9"/>
      <c r="I52" s="9"/>
      <c r="J52" s="9"/>
    </row>
    <row r="53" spans="2:10" ht="15.5">
      <c r="B53" s="62" t="s">
        <v>163</v>
      </c>
      <c r="C53" s="422"/>
      <c r="D53" s="422"/>
      <c r="E53" s="422"/>
      <c r="F53" s="422"/>
      <c r="G53" s="67"/>
      <c r="H53" s="9"/>
      <c r="I53" s="9"/>
      <c r="J53" s="9"/>
    </row>
    <row r="54" spans="2:10" ht="15.5">
      <c r="B54" s="13" t="s">
        <v>164</v>
      </c>
      <c r="C54" s="41" t="s">
        <v>165</v>
      </c>
      <c r="D54" s="46"/>
      <c r="E54" s="9"/>
      <c r="F54" s="9"/>
      <c r="G54" s="11"/>
      <c r="H54" s="9"/>
      <c r="I54" s="9"/>
      <c r="J54" s="9"/>
    </row>
    <row r="55" spans="2:10" ht="15.5">
      <c r="B55" s="13" t="s">
        <v>166</v>
      </c>
      <c r="C55" s="41" t="s">
        <v>167</v>
      </c>
      <c r="D55" s="45">
        <f>'A6. Operations_Consolidated'!D126</f>
        <v>0</v>
      </c>
      <c r="E55" s="9"/>
      <c r="F55" s="9"/>
      <c r="G55" s="11"/>
      <c r="H55" s="9"/>
      <c r="I55" s="9"/>
      <c r="J55" s="9"/>
    </row>
    <row r="56" spans="2:10" ht="15.5">
      <c r="B56" s="13" t="s">
        <v>168</v>
      </c>
      <c r="C56" s="41" t="s">
        <v>169</v>
      </c>
      <c r="D56" s="46"/>
      <c r="E56" s="9"/>
      <c r="F56" s="9"/>
      <c r="G56" s="11"/>
      <c r="H56" s="9"/>
      <c r="I56" s="9"/>
      <c r="J56" s="9"/>
    </row>
    <row r="57" spans="2:10" ht="15.5">
      <c r="B57" s="13" t="s">
        <v>139</v>
      </c>
      <c r="C57" s="41" t="s">
        <v>170</v>
      </c>
      <c r="D57" s="46"/>
      <c r="E57" s="9"/>
      <c r="F57" s="9"/>
      <c r="G57" s="11"/>
      <c r="H57" s="9"/>
      <c r="I57" s="9"/>
      <c r="J57" s="9"/>
    </row>
    <row r="58" spans="2:10" ht="16" thickBot="1">
      <c r="B58" s="16" t="s">
        <v>171</v>
      </c>
      <c r="C58" s="48">
        <v>500</v>
      </c>
      <c r="D58" s="49">
        <f>+D54+D55+D56+D57</f>
        <v>0</v>
      </c>
      <c r="E58" s="17"/>
      <c r="F58" s="17"/>
      <c r="G58" s="50"/>
      <c r="H58" s="9"/>
      <c r="I58" s="9"/>
      <c r="J58" s="9"/>
    </row>
    <row r="59" spans="2:10" ht="15.5">
      <c r="B59" s="9"/>
      <c r="C59" s="9"/>
      <c r="D59" s="9"/>
      <c r="E59" s="9"/>
      <c r="F59" s="9"/>
      <c r="G59" s="9"/>
      <c r="H59" s="9"/>
      <c r="I59" s="9"/>
      <c r="J59" s="9"/>
    </row>
    <row r="60" spans="2:10" ht="15.5">
      <c r="B60" s="9"/>
      <c r="C60" s="9"/>
      <c r="D60" s="9"/>
      <c r="E60" s="9"/>
      <c r="F60" s="9"/>
      <c r="G60" s="9"/>
      <c r="H60" s="9"/>
      <c r="I60" s="9"/>
      <c r="J60" s="9"/>
    </row>
    <row r="61" spans="2:10" ht="15.5">
      <c r="B61" s="9"/>
      <c r="C61" s="9"/>
      <c r="D61" s="9"/>
      <c r="E61" s="9"/>
      <c r="F61" s="9"/>
      <c r="G61" s="9"/>
      <c r="H61" s="9"/>
      <c r="I61" s="9"/>
      <c r="J61" s="9"/>
    </row>
    <row r="62" spans="2:10" ht="15.5">
      <c r="B62" s="9"/>
      <c r="C62" s="9"/>
      <c r="D62" s="9"/>
      <c r="E62" s="9"/>
      <c r="F62" s="9"/>
      <c r="G62" s="9"/>
      <c r="H62" s="9"/>
      <c r="I62" s="9"/>
      <c r="J62" s="9"/>
    </row>
    <row r="63" spans="2:10" ht="15.5">
      <c r="B63" s="9"/>
      <c r="C63" s="9"/>
      <c r="D63" s="9"/>
      <c r="E63" s="9"/>
      <c r="F63" s="9"/>
      <c r="G63" s="9"/>
      <c r="H63" s="9"/>
      <c r="I63" s="9"/>
      <c r="J63" s="9"/>
    </row>
    <row r="64" spans="2:10" ht="15.5">
      <c r="B64" s="9"/>
      <c r="C64" s="9"/>
      <c r="D64" s="9"/>
      <c r="E64" s="9"/>
      <c r="F64" s="9"/>
      <c r="G64" s="9"/>
      <c r="H64" s="9"/>
      <c r="I64" s="9"/>
      <c r="J64" s="9"/>
    </row>
    <row r="65" spans="2:10" ht="15.5">
      <c r="B65" s="9"/>
      <c r="C65" s="9"/>
      <c r="D65" s="9"/>
      <c r="E65" s="9"/>
      <c r="F65" s="9"/>
      <c r="G65" s="9"/>
      <c r="H65" s="9"/>
      <c r="I65" s="9"/>
      <c r="J65" s="9"/>
    </row>
    <row r="66" spans="2:10" ht="15.5">
      <c r="B66" s="9"/>
      <c r="C66" s="9"/>
      <c r="D66" s="9"/>
      <c r="E66" s="9"/>
      <c r="F66" s="9"/>
      <c r="G66" s="9"/>
      <c r="H66" s="9"/>
      <c r="I66" s="9"/>
      <c r="J66" s="9"/>
    </row>
    <row r="67" spans="2:10" ht="15.5">
      <c r="B67" s="9"/>
      <c r="C67" s="9"/>
      <c r="D67" s="9"/>
      <c r="E67" s="9"/>
      <c r="F67" s="9"/>
      <c r="G67" s="9"/>
      <c r="H67" s="9"/>
      <c r="I67" s="9"/>
      <c r="J67" s="9"/>
    </row>
    <row r="68" spans="2:10" ht="15.5">
      <c r="B68" s="9"/>
      <c r="C68" s="9"/>
      <c r="D68" s="9"/>
      <c r="E68" s="9"/>
      <c r="F68" s="9"/>
      <c r="G68" s="9"/>
      <c r="H68" s="9"/>
      <c r="I68" s="9"/>
      <c r="J68" s="9"/>
    </row>
    <row r="69" spans="2:10" ht="15.5">
      <c r="B69" s="9"/>
      <c r="C69" s="9"/>
      <c r="D69" s="9"/>
      <c r="E69" s="9"/>
      <c r="F69" s="9"/>
      <c r="G69" s="9"/>
      <c r="H69" s="9"/>
      <c r="I69" s="9"/>
      <c r="J69" s="9"/>
    </row>
    <row r="70" spans="2:10" ht="15.5">
      <c r="B70" s="9"/>
      <c r="C70" s="9"/>
      <c r="D70" s="9"/>
      <c r="E70" s="9"/>
      <c r="F70" s="9"/>
      <c r="G70" s="9"/>
      <c r="H70" s="9"/>
      <c r="I70" s="9"/>
      <c r="J70" s="9"/>
    </row>
    <row r="71" spans="2:10" ht="15.5">
      <c r="B71" s="9"/>
      <c r="C71" s="9"/>
      <c r="D71" s="9"/>
      <c r="E71" s="9"/>
      <c r="F71" s="9"/>
      <c r="G71" s="9"/>
      <c r="H71" s="9"/>
      <c r="I71" s="9"/>
      <c r="J71" s="9"/>
    </row>
    <row r="72" spans="2:10" ht="15.5">
      <c r="B72" s="9"/>
      <c r="C72" s="9"/>
      <c r="D72" s="9"/>
      <c r="E72" s="9"/>
      <c r="F72" s="9"/>
      <c r="G72" s="9"/>
      <c r="H72" s="9"/>
      <c r="I72" s="9"/>
      <c r="J72" s="9"/>
    </row>
    <row r="73" spans="2:10" ht="15.5">
      <c r="B73" s="9"/>
      <c r="C73" s="9"/>
      <c r="D73" s="9"/>
      <c r="E73" s="9"/>
      <c r="F73" s="9"/>
      <c r="G73" s="9"/>
      <c r="H73" s="9"/>
      <c r="I73" s="9"/>
      <c r="J73" s="9"/>
    </row>
    <row r="74" spans="2:10" ht="15.5">
      <c r="B74" s="9"/>
      <c r="C74" s="9"/>
      <c r="D74" s="9"/>
      <c r="E74" s="9"/>
      <c r="F74" s="9"/>
      <c r="G74" s="9"/>
      <c r="H74" s="9"/>
      <c r="I74" s="9"/>
      <c r="J74" s="9"/>
    </row>
    <row r="75" spans="2:10" ht="15.5">
      <c r="B75" s="9"/>
      <c r="C75" s="9"/>
      <c r="D75" s="9"/>
      <c r="E75" s="9"/>
      <c r="F75" s="9"/>
      <c r="G75" s="9"/>
      <c r="H75" s="9"/>
      <c r="I75" s="9"/>
      <c r="J75" s="9"/>
    </row>
    <row r="76" spans="2:10" ht="15.5">
      <c r="B76" s="9"/>
      <c r="C76" s="9"/>
      <c r="D76" s="9"/>
      <c r="E76" s="9"/>
      <c r="F76" s="9"/>
      <c r="G76" s="9"/>
      <c r="H76" s="9"/>
      <c r="I76" s="9"/>
      <c r="J76" s="9"/>
    </row>
    <row r="77" spans="2:10">
      <c r="C77" s="29"/>
      <c r="D77" s="29"/>
    </row>
    <row r="78" spans="2:10">
      <c r="C78" s="29"/>
      <c r="D78" s="29"/>
    </row>
    <row r="79" spans="2:10">
      <c r="C79" s="29"/>
      <c r="D79" s="29"/>
    </row>
    <row r="80" spans="2:10">
      <c r="C80" s="29"/>
      <c r="D80" s="29"/>
    </row>
    <row r="81" spans="3:4">
      <c r="C81" s="29"/>
      <c r="D81" s="29"/>
    </row>
    <row r="82" spans="3:4">
      <c r="C82" s="29"/>
      <c r="D82" s="29"/>
    </row>
    <row r="83" spans="3:4">
      <c r="C83" s="29"/>
      <c r="D83" s="29"/>
    </row>
    <row r="84" spans="3:4">
      <c r="C84" s="29"/>
      <c r="D84" s="29"/>
    </row>
    <row r="85" spans="3:4">
      <c r="C85" s="29"/>
      <c r="D85" s="29"/>
    </row>
    <row r="86" spans="3:4">
      <c r="C86" s="29"/>
      <c r="D86" s="29"/>
    </row>
    <row r="87" spans="3:4">
      <c r="C87" s="29"/>
      <c r="D87" s="29"/>
    </row>
    <row r="88" spans="3:4">
      <c r="C88" s="29"/>
      <c r="D88" s="29"/>
    </row>
    <row r="89" spans="3:4">
      <c r="C89" s="29"/>
      <c r="D89" s="29"/>
    </row>
    <row r="90" spans="3:4">
      <c r="C90" s="29"/>
      <c r="D90" s="29"/>
    </row>
    <row r="91" spans="3:4">
      <c r="C91" s="29"/>
      <c r="D91" s="29"/>
    </row>
    <row r="92" spans="3:4">
      <c r="C92" s="29"/>
      <c r="D92" s="29"/>
    </row>
    <row r="93" spans="3:4">
      <c r="C93" s="29"/>
      <c r="D93" s="29"/>
    </row>
    <row r="94" spans="3:4">
      <c r="C94" s="29"/>
      <c r="D94" s="29"/>
    </row>
    <row r="95" spans="3:4">
      <c r="C95" s="29"/>
      <c r="D95" s="29"/>
    </row>
    <row r="96" spans="3:4">
      <c r="C96" s="29"/>
      <c r="D96" s="29"/>
    </row>
    <row r="97" spans="3:4">
      <c r="C97" s="29"/>
      <c r="D97" s="29"/>
    </row>
    <row r="98" spans="3:4">
      <c r="C98" s="29"/>
      <c r="D98" s="29"/>
    </row>
    <row r="99" spans="3:4">
      <c r="C99" s="29"/>
      <c r="D99" s="29"/>
    </row>
    <row r="100" spans="3:4">
      <c r="C100" s="29"/>
      <c r="D100" s="29"/>
    </row>
    <row r="101" spans="3:4">
      <c r="C101" s="29"/>
      <c r="D101" s="29"/>
    </row>
    <row r="102" spans="3:4">
      <c r="C102" s="29"/>
      <c r="D102" s="29"/>
    </row>
    <row r="103" spans="3:4">
      <c r="C103" s="29"/>
      <c r="D103" s="29"/>
    </row>
    <row r="104" spans="3:4">
      <c r="C104" s="29"/>
      <c r="D104" s="29"/>
    </row>
    <row r="105" spans="3:4">
      <c r="C105" s="29"/>
      <c r="D105" s="29"/>
    </row>
    <row r="106" spans="3:4">
      <c r="C106" s="29"/>
      <c r="D106" s="29"/>
    </row>
    <row r="107" spans="3:4">
      <c r="C107" s="29"/>
      <c r="D107" s="29"/>
    </row>
    <row r="108" spans="3:4">
      <c r="C108" s="29"/>
      <c r="D108" s="29"/>
    </row>
    <row r="109" spans="3:4">
      <c r="C109" s="29"/>
      <c r="D109" s="29"/>
    </row>
  </sheetData>
  <sheetProtection algorithmName="SHA-512" hashValue="0SAZPf9vBDttDhyEWUvE7JoHvv0KTBTkpqWo1B77nZwBCxiIkbxk/5INL9ywePRBSN06gcJ686tMU/ftSrahaw==" saltValue="0le0CrZi2JkRcJi8TZD92Q==" spinCount="100000" sheet="1" objects="1" scenarios="1"/>
  <mergeCells count="6">
    <mergeCell ref="B1:G1"/>
    <mergeCell ref="B2:G2"/>
    <mergeCell ref="B3:G3"/>
    <mergeCell ref="G31:G33"/>
    <mergeCell ref="B51:D51"/>
    <mergeCell ref="G36:G38"/>
  </mergeCells>
  <conditionalFormatting sqref="G34">
    <cfRule type="expression" dxfId="129" priority="4">
      <formula>$D$34&gt;1</formula>
    </cfRule>
    <cfRule type="expression" dxfId="128" priority="5">
      <formula>$D$34&gt;0</formula>
    </cfRule>
    <cfRule type="cellIs" dxfId="127" priority="6" operator="greaterThan">
      <formula>$D$34&gt;0</formula>
    </cfRule>
  </conditionalFormatting>
  <dataValidations count="1">
    <dataValidation type="decimal" allowBlank="1" showInputMessage="1" showErrorMessage="1" error="Input amount as negative " prompt="Input amount as negative " sqref="D56" xr:uid="{94572151-7153-46B6-BA12-48A32AA8ED4E}">
      <formula1>-1E+26</formula1>
      <formula2>0</formula2>
    </dataValidation>
  </dataValidations>
  <pageMargins left="0.7" right="0.7" top="0.75" bottom="0.75" header="0.3" footer="0.3"/>
  <pageSetup scale="59"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8E425-5300-4849-8B48-70D714B2D6EA}">
  <sheetPr>
    <tabColor theme="9" tint="0.59999389629810485"/>
  </sheetPr>
  <dimension ref="B1:XEN200"/>
  <sheetViews>
    <sheetView showGridLines="0" zoomScale="85" zoomScaleNormal="85" workbookViewId="0">
      <selection activeCell="F9" sqref="F9"/>
    </sheetView>
  </sheetViews>
  <sheetFormatPr defaultColWidth="9.1796875" defaultRowHeight="15.5" outlineLevelRow="1"/>
  <cols>
    <col min="1" max="1" width="3.453125" style="9" customWidth="1"/>
    <col min="2" max="2" width="86.7265625" style="9" customWidth="1"/>
    <col min="3" max="3" width="12.26953125" style="9" customWidth="1"/>
    <col min="4" max="4" width="20.7265625" style="9" customWidth="1"/>
    <col min="5" max="5" width="23" style="9" customWidth="1"/>
    <col min="6" max="6" width="23.7265625" style="9" customWidth="1"/>
    <col min="7" max="7" width="6.7265625" style="9" customWidth="1"/>
    <col min="8" max="8" width="74.453125" style="9" customWidth="1"/>
    <col min="9" max="9" width="9.453125" style="9" customWidth="1"/>
    <col min="10" max="10" width="9.1796875" style="9"/>
    <col min="11" max="11" width="17.54296875" style="9" customWidth="1"/>
    <col min="12" max="16384" width="9.1796875" style="9"/>
  </cols>
  <sheetData>
    <row r="1" spans="2:12 16363:16368" ht="21" customHeight="1">
      <c r="B1" s="1180" t="str">
        <f>IF('A1. Identification'!D7=0, "2025 FAIR, CWELCC and OTEF Reconciliation for Multi Site Operators",'A1. Identification'!D7)</f>
        <v>2025 FAIR, CWELCC and OTEF Reconciliation for Multi Site Operators</v>
      </c>
      <c r="C1" s="1181"/>
      <c r="D1" s="1181"/>
      <c r="E1" s="1181"/>
      <c r="F1" s="1181"/>
      <c r="G1" s="443"/>
      <c r="K1" s="109" t="s">
        <v>109</v>
      </c>
      <c r="L1" s="110" t="str">
        <f>IF('A1. Identification'!$D$13=0, " ",'A1. Identification'!$D$13)</f>
        <v xml:space="preserve"> </v>
      </c>
    </row>
    <row r="2" spans="2:12 16363:16368" ht="19" customHeight="1">
      <c r="B2" s="1182" t="str">
        <f>IF('A1. Identification'!B6=0, " ", "Statement of Operations / Income Statement of "&amp; 'A2.Allocation &amp; Operating Plan'!$C$37)</f>
        <v xml:space="preserve">Statement of Operations / Income Statement of  </v>
      </c>
      <c r="C2" s="1091"/>
      <c r="D2" s="1091"/>
      <c r="E2" s="1091"/>
      <c r="F2" s="1091"/>
      <c r="G2" s="444"/>
      <c r="K2" s="109" t="s">
        <v>301</v>
      </c>
      <c r="L2" s="110">
        <f>F7</f>
        <v>0</v>
      </c>
    </row>
    <row r="3" spans="2:12 16363:16368" ht="17.5" customHeight="1" thickBot="1">
      <c r="B3" s="1183" t="s">
        <v>954</v>
      </c>
      <c r="C3" s="1184"/>
      <c r="D3" s="1184"/>
      <c r="E3" s="1184"/>
      <c r="F3" s="1184"/>
      <c r="G3" s="1185"/>
      <c r="H3" s="14"/>
    </row>
    <row r="4" spans="2:12 16363:16368" s="445" customFormat="1" ht="10.5" customHeight="1"/>
    <row r="5" spans="2:12 16363:16368" s="445" customFormat="1" ht="7.5" customHeight="1">
      <c r="B5" s="446"/>
    </row>
    <row r="6" spans="2:12 16363:16368" ht="21.75" customHeight="1" thickBot="1">
      <c r="B6" s="447" t="s">
        <v>852</v>
      </c>
    </row>
    <row r="7" spans="2:12 16363:16368">
      <c r="B7" s="448" t="s">
        <v>724</v>
      </c>
      <c r="C7" s="449"/>
      <c r="D7" s="449"/>
      <c r="E7" s="449"/>
      <c r="F7" s="912">
        <f>'A2.Allocation &amp; Operating Plan'!E10</f>
        <v>0</v>
      </c>
      <c r="G7" s="106" t="s">
        <v>772</v>
      </c>
    </row>
    <row r="8" spans="2:12 16363:16368">
      <c r="B8" s="78" t="s">
        <v>725</v>
      </c>
      <c r="F8" s="912">
        <f>'A2.Allocation &amp; Operating Plan'!E11</f>
        <v>0</v>
      </c>
      <c r="G8" s="106" t="s">
        <v>773</v>
      </c>
    </row>
    <row r="9" spans="2:12 16363:16368">
      <c r="B9" s="78" t="s">
        <v>727</v>
      </c>
      <c r="F9" s="285"/>
      <c r="G9" s="106" t="s">
        <v>774</v>
      </c>
      <c r="H9" s="1186" t="s">
        <v>898</v>
      </c>
      <c r="I9" s="1187"/>
      <c r="XEI9" s="525" t="s">
        <v>309</v>
      </c>
      <c r="XEJ9" s="525"/>
      <c r="XEK9" s="525" t="s">
        <v>398</v>
      </c>
      <c r="XEL9" s="525"/>
      <c r="XEM9" s="525" t="s">
        <v>130</v>
      </c>
      <c r="XEN9" s="525" t="s">
        <v>305</v>
      </c>
    </row>
    <row r="10" spans="2:12 16363:16368" ht="15.5" customHeight="1">
      <c r="B10" s="78" t="s">
        <v>304</v>
      </c>
      <c r="F10" s="912">
        <f>'A2.Allocation &amp; Operating Plan'!I37</f>
        <v>0</v>
      </c>
      <c r="G10" s="106" t="s">
        <v>775</v>
      </c>
      <c r="H10" s="1186"/>
      <c r="I10" s="1187"/>
      <c r="XEI10" s="525" t="s">
        <v>310</v>
      </c>
      <c r="XEJ10" s="525"/>
      <c r="XEK10" s="525" t="s">
        <v>400</v>
      </c>
      <c r="XEL10" s="525"/>
      <c r="XEM10" s="525" t="s">
        <v>115</v>
      </c>
      <c r="XEN10" s="525" t="s">
        <v>307</v>
      </c>
    </row>
    <row r="11" spans="2:12 16363:16368" ht="15.5" customHeight="1">
      <c r="B11" s="78" t="s">
        <v>959</v>
      </c>
      <c r="C11" s="133"/>
      <c r="F11" s="284"/>
      <c r="G11" s="106" t="s">
        <v>776</v>
      </c>
      <c r="H11" s="1186"/>
      <c r="I11" s="1187"/>
      <c r="XEI11" s="525" t="s">
        <v>311</v>
      </c>
      <c r="XEJ11" s="525"/>
      <c r="XEK11" s="525" t="s">
        <v>399</v>
      </c>
      <c r="XEL11" s="525"/>
      <c r="XEM11" s="525"/>
      <c r="XEN11" s="525" t="s">
        <v>308</v>
      </c>
    </row>
    <row r="12" spans="2:12 16363:16368" ht="16" thickBot="1">
      <c r="B12" s="78" t="s">
        <v>392</v>
      </c>
      <c r="C12" s="14"/>
      <c r="D12" s="14"/>
      <c r="F12" s="436"/>
      <c r="G12" s="106" t="s">
        <v>777</v>
      </c>
      <c r="H12" s="1188"/>
      <c r="I12" s="1189"/>
      <c r="XEI12" s="525"/>
      <c r="XEJ12" s="525"/>
      <c r="XEK12" s="525" t="s">
        <v>91</v>
      </c>
      <c r="XEL12" s="525"/>
      <c r="XEM12" s="525"/>
      <c r="XEN12" s="525" t="s">
        <v>334</v>
      </c>
    </row>
    <row r="13" spans="2:12 16363:16368">
      <c r="B13" s="78" t="s">
        <v>835</v>
      </c>
      <c r="C13" s="14"/>
      <c r="D13" s="14"/>
      <c r="F13" s="436"/>
      <c r="G13" s="106" t="s">
        <v>778</v>
      </c>
      <c r="H13" s="866"/>
      <c r="I13" s="116" t="s">
        <v>860</v>
      </c>
      <c r="XEI13" s="525"/>
      <c r="XEJ13" s="525"/>
      <c r="XEK13" s="525"/>
      <c r="XEL13" s="525"/>
      <c r="XEM13" s="525"/>
      <c r="XEN13" s="525" t="s">
        <v>91</v>
      </c>
    </row>
    <row r="14" spans="2:12 16363:16368">
      <c r="B14" s="78" t="s">
        <v>897</v>
      </c>
      <c r="C14" s="14"/>
      <c r="D14" s="14"/>
      <c r="F14" s="436"/>
      <c r="G14" s="106" t="s">
        <v>779</v>
      </c>
      <c r="H14" s="867"/>
      <c r="I14" s="106" t="s">
        <v>895</v>
      </c>
    </row>
    <row r="15" spans="2:12 16363:16368" ht="16" thickBot="1">
      <c r="B15" s="450" t="s">
        <v>306</v>
      </c>
      <c r="C15" s="17"/>
      <c r="D15" s="451"/>
      <c r="E15" s="1190"/>
      <c r="F15" s="1191"/>
      <c r="G15" s="107" t="s">
        <v>859</v>
      </c>
      <c r="H15" s="868"/>
      <c r="I15" s="107" t="s">
        <v>896</v>
      </c>
    </row>
    <row r="16" spans="2:12 16363:16368" s="14" customFormat="1" ht="16" thickBot="1">
      <c r="G16" s="9"/>
      <c r="XEN16" s="9"/>
    </row>
    <row r="17" spans="2:9" ht="31.5" thickBot="1">
      <c r="B17" s="452" t="s">
        <v>175</v>
      </c>
      <c r="C17" s="65"/>
      <c r="D17" s="453" t="s">
        <v>172</v>
      </c>
      <c r="E17" s="454" t="s">
        <v>312</v>
      </c>
      <c r="F17" s="455" t="s">
        <v>313</v>
      </c>
      <c r="H17" s="86"/>
    </row>
    <row r="18" spans="2:9" ht="15.75" customHeight="1">
      <c r="B18" s="456" t="s">
        <v>422</v>
      </c>
      <c r="C18" s="457">
        <v>301</v>
      </c>
      <c r="D18" s="927">
        <f>E197-E187</f>
        <v>0</v>
      </c>
      <c r="E18" s="928">
        <f>D18</f>
        <v>0</v>
      </c>
      <c r="F18" s="460"/>
      <c r="H18" s="1192" t="s">
        <v>737</v>
      </c>
    </row>
    <row r="19" spans="2:9" ht="16" thickBot="1">
      <c r="B19" s="20" t="s">
        <v>819</v>
      </c>
      <c r="C19" s="461">
        <v>302</v>
      </c>
      <c r="D19" s="929">
        <f>E187</f>
        <v>0</v>
      </c>
      <c r="E19" s="930">
        <f>+D19</f>
        <v>0</v>
      </c>
      <c r="F19" s="464"/>
      <c r="H19" s="1193"/>
    </row>
    <row r="20" spans="2:9">
      <c r="B20" s="20" t="s">
        <v>836</v>
      </c>
      <c r="C20" s="461">
        <v>303</v>
      </c>
      <c r="D20" s="101"/>
      <c r="E20" s="27"/>
      <c r="F20" s="465">
        <f>+D20-E20</f>
        <v>0</v>
      </c>
      <c r="H20" s="117" t="str">
        <f>IF(AND(ISNUMBER(D20), ISBLANK(E20)), "Error: Missing 0-6 amount", "")</f>
        <v/>
      </c>
    </row>
    <row r="21" spans="2:9">
      <c r="B21" s="20" t="s">
        <v>820</v>
      </c>
      <c r="C21" s="461">
        <v>304</v>
      </c>
      <c r="D21" s="101"/>
      <c r="E21" s="101"/>
      <c r="F21" s="465">
        <f>+D21-E21</f>
        <v>0</v>
      </c>
      <c r="H21" s="117" t="str">
        <f>IF(AND(ISNUMBER(D21), ISBLANK(E21)), "Error: Missing 0-6 amount", "")</f>
        <v/>
      </c>
    </row>
    <row r="22" spans="2:9">
      <c r="B22" s="20" t="s">
        <v>423</v>
      </c>
      <c r="C22" s="461">
        <v>305</v>
      </c>
      <c r="D22" s="101"/>
      <c r="E22" s="931"/>
      <c r="F22" s="462">
        <f>D22</f>
        <v>0</v>
      </c>
    </row>
    <row r="23" spans="2:9" s="467" customFormat="1">
      <c r="B23" s="20" t="s">
        <v>385</v>
      </c>
      <c r="C23" s="461">
        <v>306</v>
      </c>
      <c r="D23" s="101"/>
      <c r="E23" s="930">
        <f>D23</f>
        <v>0</v>
      </c>
      <c r="F23" s="464"/>
    </row>
    <row r="24" spans="2:9">
      <c r="B24" s="20" t="s">
        <v>383</v>
      </c>
      <c r="C24" s="461">
        <v>307</v>
      </c>
      <c r="D24" s="101"/>
      <c r="E24" s="101"/>
      <c r="F24" s="465">
        <f>D24-E24</f>
        <v>0</v>
      </c>
      <c r="G24" s="14"/>
      <c r="H24" s="555" t="s">
        <v>881</v>
      </c>
    </row>
    <row r="25" spans="2:9">
      <c r="B25" s="20" t="s">
        <v>808</v>
      </c>
      <c r="C25" s="461">
        <v>308</v>
      </c>
      <c r="D25" s="462">
        <f>'A3. Peel Region Grants'!D117</f>
        <v>0</v>
      </c>
      <c r="E25" s="463">
        <f>D25</f>
        <v>0</v>
      </c>
      <c r="F25" s="462">
        <f>D25-E25</f>
        <v>0</v>
      </c>
      <c r="H25" s="555" t="s">
        <v>881</v>
      </c>
      <c r="I25" s="14"/>
    </row>
    <row r="26" spans="2:9" ht="15.75" hidden="1" customHeight="1">
      <c r="B26" s="20" t="s">
        <v>239</v>
      </c>
      <c r="C26" s="461">
        <v>309</v>
      </c>
      <c r="D26" s="929"/>
      <c r="E26" s="930"/>
      <c r="F26" s="465">
        <f>D26-E26</f>
        <v>0</v>
      </c>
      <c r="H26" s="12" t="s">
        <v>283</v>
      </c>
      <c r="I26" s="14"/>
    </row>
    <row r="27" spans="2:9">
      <c r="B27" s="20" t="s">
        <v>809</v>
      </c>
      <c r="C27" s="461">
        <v>309</v>
      </c>
      <c r="D27" s="101"/>
      <c r="E27" s="27"/>
      <c r="F27" s="465">
        <f>D27-E27</f>
        <v>0</v>
      </c>
      <c r="H27" s="555" t="s">
        <v>881</v>
      </c>
      <c r="I27" s="14"/>
    </row>
    <row r="28" spans="2:9">
      <c r="B28" s="419" t="s">
        <v>855</v>
      </c>
      <c r="C28" s="461">
        <v>310</v>
      </c>
      <c r="D28" s="101"/>
      <c r="E28" s="27"/>
      <c r="F28" s="465">
        <f>+D28-E28</f>
        <v>0</v>
      </c>
      <c r="H28" s="117" t="str">
        <f>IF(AND(ISNUMBER(D28), ISBLANK(E28)), "Error: Missing 0-6 amount", "")</f>
        <v/>
      </c>
      <c r="I28" s="14"/>
    </row>
    <row r="29" spans="2:9">
      <c r="B29" s="419" t="s">
        <v>856</v>
      </c>
      <c r="C29" s="461">
        <v>311</v>
      </c>
      <c r="D29" s="101"/>
      <c r="E29" s="27"/>
      <c r="F29" s="465">
        <f>+D29-E29</f>
        <v>0</v>
      </c>
      <c r="H29" s="117" t="str">
        <f>IF(AND(ISNUMBER(D29), ISBLANK(E29)), "Error: Missing 0-6 amount", "")</f>
        <v/>
      </c>
    </row>
    <row r="30" spans="2:9" ht="16.5" customHeight="1" thickBot="1">
      <c r="B30" s="469" t="s">
        <v>176</v>
      </c>
      <c r="C30" s="470">
        <v>312</v>
      </c>
      <c r="D30" s="471">
        <f>SUM(D18:D29)</f>
        <v>0</v>
      </c>
      <c r="E30" s="472">
        <f>SUM(E18:E29)</f>
        <v>0</v>
      </c>
      <c r="F30" s="471">
        <f>SUM(F18:F29)</f>
        <v>0</v>
      </c>
      <c r="H30" s="513"/>
    </row>
    <row r="31" spans="2:9" ht="16.5" customHeight="1" thickBot="1">
      <c r="C31" s="473"/>
      <c r="D31" s="64"/>
      <c r="E31" s="64"/>
      <c r="F31" s="64"/>
    </row>
    <row r="32" spans="2:9" ht="18.5">
      <c r="B32" s="474" t="s">
        <v>419</v>
      </c>
      <c r="C32" s="65"/>
      <c r="D32" s="453" t="s">
        <v>172</v>
      </c>
      <c r="E32" s="453" t="s">
        <v>173</v>
      </c>
      <c r="F32" s="475" t="s">
        <v>174</v>
      </c>
    </row>
    <row r="33" spans="2:11" ht="16" thickBot="1">
      <c r="B33" s="476" t="s">
        <v>394</v>
      </c>
      <c r="C33" s="477"/>
      <c r="D33" s="478"/>
      <c r="E33" s="478" t="s">
        <v>803</v>
      </c>
      <c r="F33" s="479" t="s">
        <v>286</v>
      </c>
    </row>
    <row r="34" spans="2:11" ht="16.5" customHeight="1" thickBot="1">
      <c r="C34" s="17"/>
      <c r="D34" s="480"/>
      <c r="E34" s="481"/>
      <c r="H34" s="1194" t="s">
        <v>386</v>
      </c>
    </row>
    <row r="35" spans="2:11" ht="16" thickBot="1">
      <c r="B35" s="482" t="s">
        <v>469</v>
      </c>
      <c r="C35" s="483">
        <v>411</v>
      </c>
      <c r="D35" s="484">
        <f>+D37+D45+D53</f>
        <v>0</v>
      </c>
      <c r="E35" s="484">
        <f>+E37+E45+E53</f>
        <v>0</v>
      </c>
      <c r="F35" s="484">
        <f>+F37+F45+F53</f>
        <v>0</v>
      </c>
      <c r="H35" s="1195"/>
    </row>
    <row r="36" spans="2:11" ht="16.5" customHeight="1" thickBot="1">
      <c r="C36" s="473"/>
      <c r="D36" s="64"/>
      <c r="E36" s="64"/>
      <c r="F36" s="64"/>
    </row>
    <row r="37" spans="2:11" ht="16" thickBot="1">
      <c r="B37" s="114" t="s">
        <v>720</v>
      </c>
      <c r="C37" s="116" t="s">
        <v>40</v>
      </c>
      <c r="D37" s="484">
        <f>SUM(D38:D44)</f>
        <v>0</v>
      </c>
      <c r="E37" s="484">
        <f>SUM(E38:E44)</f>
        <v>0</v>
      </c>
      <c r="F37" s="484">
        <f>SUM(F38:F44)</f>
        <v>0</v>
      </c>
      <c r="H37" s="493"/>
      <c r="I37" s="9" t="str">
        <f t="shared" ref="I37:I52" si="0">IF(AND(ISNUMBER(D37), ISBLANK(E37)), "Error: Missing 0-6 amount", "")</f>
        <v/>
      </c>
    </row>
    <row r="38" spans="2:11" ht="14.5" customHeight="1">
      <c r="B38" s="278" t="s">
        <v>538</v>
      </c>
      <c r="C38" s="106" t="s">
        <v>41</v>
      </c>
      <c r="D38" s="546"/>
      <c r="E38" s="546"/>
      <c r="F38" s="545">
        <f t="shared" ref="F38:F44" si="1">+D38-E38</f>
        <v>0</v>
      </c>
      <c r="H38" s="437"/>
      <c r="I38" s="117" t="str">
        <f t="shared" si="0"/>
        <v/>
      </c>
      <c r="K38" s="10"/>
    </row>
    <row r="39" spans="2:11" ht="14.5" customHeight="1">
      <c r="B39" s="864" t="s">
        <v>882</v>
      </c>
      <c r="C39" s="112" t="s">
        <v>883</v>
      </c>
      <c r="D39" s="546"/>
      <c r="E39" s="546"/>
      <c r="F39" s="545">
        <f t="shared" si="1"/>
        <v>0</v>
      </c>
      <c r="H39" s="437"/>
      <c r="I39" s="117"/>
      <c r="K39" s="10"/>
    </row>
    <row r="40" spans="2:11">
      <c r="B40" s="278" t="s">
        <v>886</v>
      </c>
      <c r="C40" s="106" t="s">
        <v>42</v>
      </c>
      <c r="D40" s="546"/>
      <c r="E40" s="546"/>
      <c r="F40" s="485">
        <f t="shared" si="1"/>
        <v>0</v>
      </c>
      <c r="H40" s="437"/>
      <c r="I40" s="117" t="str">
        <f t="shared" si="0"/>
        <v/>
      </c>
      <c r="K40" s="10"/>
    </row>
    <row r="41" spans="2:11">
      <c r="B41" s="278" t="s">
        <v>837</v>
      </c>
      <c r="C41" s="106" t="s">
        <v>43</v>
      </c>
      <c r="D41" s="546"/>
      <c r="E41" s="546"/>
      <c r="F41" s="485">
        <f t="shared" si="1"/>
        <v>0</v>
      </c>
      <c r="H41" s="437"/>
      <c r="I41" s="117" t="str">
        <f t="shared" si="0"/>
        <v/>
      </c>
      <c r="K41" s="10"/>
    </row>
    <row r="42" spans="2:11">
      <c r="B42" s="278" t="s">
        <v>965</v>
      </c>
      <c r="C42" s="106" t="s">
        <v>787</v>
      </c>
      <c r="D42" s="546"/>
      <c r="E42" s="546"/>
      <c r="F42" s="485">
        <f t="shared" si="1"/>
        <v>0</v>
      </c>
      <c r="H42" s="437"/>
      <c r="I42" s="117" t="str">
        <f t="shared" si="0"/>
        <v/>
      </c>
      <c r="K42" s="10"/>
    </row>
    <row r="43" spans="2:11">
      <c r="B43" s="278" t="s">
        <v>544</v>
      </c>
      <c r="C43" s="112" t="s">
        <v>788</v>
      </c>
      <c r="D43" s="546"/>
      <c r="E43" s="546"/>
      <c r="F43" s="485">
        <f t="shared" si="1"/>
        <v>0</v>
      </c>
      <c r="H43" s="437"/>
      <c r="I43" s="117" t="str">
        <f t="shared" si="0"/>
        <v/>
      </c>
      <c r="K43" s="10"/>
    </row>
    <row r="44" spans="2:11" ht="16" thickBot="1">
      <c r="B44" s="523" t="s">
        <v>851</v>
      </c>
      <c r="C44" s="107" t="s">
        <v>939</v>
      </c>
      <c r="D44" s="546"/>
      <c r="E44" s="546"/>
      <c r="F44" s="487">
        <f t="shared" si="1"/>
        <v>0</v>
      </c>
      <c r="H44" s="438"/>
      <c r="I44" s="117" t="str">
        <f t="shared" si="0"/>
        <v/>
      </c>
      <c r="K44" s="10"/>
    </row>
    <row r="45" spans="2:11" ht="16" thickBot="1">
      <c r="B45" s="114" t="s">
        <v>550</v>
      </c>
      <c r="C45" s="105" t="s">
        <v>789</v>
      </c>
      <c r="D45" s="484">
        <f>SUM(D46:D52)</f>
        <v>0</v>
      </c>
      <c r="E45" s="484">
        <f>SUM(E46:E52)</f>
        <v>0</v>
      </c>
      <c r="F45" s="484">
        <f>SUM(F46:F52)</f>
        <v>0</v>
      </c>
      <c r="H45" s="493"/>
      <c r="I45" s="117" t="str">
        <f t="shared" si="0"/>
        <v/>
      </c>
    </row>
    <row r="46" spans="2:11">
      <c r="B46" s="278" t="s">
        <v>551</v>
      </c>
      <c r="C46" s="112" t="s">
        <v>790</v>
      </c>
      <c r="D46" s="546"/>
      <c r="E46" s="546"/>
      <c r="F46" s="545">
        <f t="shared" ref="F46:F52" si="2">+D46-E46</f>
        <v>0</v>
      </c>
      <c r="H46" s="439"/>
      <c r="I46" s="117" t="str">
        <f t="shared" si="0"/>
        <v/>
      </c>
      <c r="K46" s="10"/>
    </row>
    <row r="47" spans="2:11">
      <c r="B47" s="864" t="s">
        <v>885</v>
      </c>
      <c r="C47" s="112" t="s">
        <v>884</v>
      </c>
      <c r="D47" s="546"/>
      <c r="E47" s="546"/>
      <c r="F47" s="485">
        <f t="shared" si="2"/>
        <v>0</v>
      </c>
      <c r="H47" s="439"/>
      <c r="I47" s="117" t="str">
        <f t="shared" si="0"/>
        <v/>
      </c>
      <c r="K47" s="10"/>
    </row>
    <row r="48" spans="2:11">
      <c r="B48" s="278" t="s">
        <v>887</v>
      </c>
      <c r="C48" s="112" t="s">
        <v>791</v>
      </c>
      <c r="D48" s="546"/>
      <c r="E48" s="546"/>
      <c r="F48" s="485">
        <f t="shared" si="2"/>
        <v>0</v>
      </c>
      <c r="H48" s="439"/>
      <c r="I48" s="117" t="str">
        <f t="shared" si="0"/>
        <v/>
      </c>
      <c r="K48" s="10"/>
    </row>
    <row r="49" spans="2:11">
      <c r="B49" s="278" t="s">
        <v>838</v>
      </c>
      <c r="C49" s="112" t="s">
        <v>792</v>
      </c>
      <c r="D49" s="546"/>
      <c r="E49" s="546"/>
      <c r="F49" s="485">
        <f t="shared" si="2"/>
        <v>0</v>
      </c>
      <c r="H49" s="439"/>
      <c r="I49" s="117" t="str">
        <f t="shared" si="0"/>
        <v/>
      </c>
      <c r="K49" s="10"/>
    </row>
    <row r="50" spans="2:11">
      <c r="B50" s="864" t="s">
        <v>964</v>
      </c>
      <c r="C50" s="112" t="s">
        <v>793</v>
      </c>
      <c r="D50" s="546"/>
      <c r="E50" s="546"/>
      <c r="F50" s="485">
        <f t="shared" si="2"/>
        <v>0</v>
      </c>
      <c r="H50" s="439"/>
      <c r="I50" s="117" t="str">
        <f t="shared" si="0"/>
        <v/>
      </c>
      <c r="K50" s="10"/>
    </row>
    <row r="51" spans="2:11">
      <c r="B51" s="864" t="s">
        <v>557</v>
      </c>
      <c r="C51" s="112" t="s">
        <v>794</v>
      </c>
      <c r="D51" s="546"/>
      <c r="E51" s="546"/>
      <c r="F51" s="485">
        <f t="shared" si="2"/>
        <v>0</v>
      </c>
      <c r="H51" s="439"/>
      <c r="I51" s="117" t="str">
        <f t="shared" si="0"/>
        <v/>
      </c>
      <c r="K51" s="10"/>
    </row>
    <row r="52" spans="2:11" ht="16" thickBot="1">
      <c r="B52" s="523" t="s">
        <v>850</v>
      </c>
      <c r="C52" s="107" t="s">
        <v>795</v>
      </c>
      <c r="D52" s="546"/>
      <c r="E52" s="546"/>
      <c r="F52" s="487">
        <f t="shared" si="2"/>
        <v>0</v>
      </c>
      <c r="H52" s="438"/>
      <c r="I52" s="117" t="str">
        <f t="shared" si="0"/>
        <v/>
      </c>
      <c r="K52" s="10"/>
    </row>
    <row r="53" spans="2:11" ht="16" thickBot="1">
      <c r="B53" s="114" t="s">
        <v>721</v>
      </c>
      <c r="C53" s="105" t="s">
        <v>796</v>
      </c>
      <c r="D53" s="484">
        <f>SUM(D54:D60)</f>
        <v>0</v>
      </c>
      <c r="E53" s="484">
        <f>SUM(E54:E60)</f>
        <v>0</v>
      </c>
      <c r="F53" s="484">
        <f>SUM(F54:F60)</f>
        <v>0</v>
      </c>
      <c r="H53" s="493"/>
    </row>
    <row r="54" spans="2:11">
      <c r="B54" s="488" t="s">
        <v>812</v>
      </c>
      <c r="C54" s="112" t="s">
        <v>797</v>
      </c>
      <c r="D54" s="546"/>
      <c r="E54" s="546"/>
      <c r="F54" s="545">
        <f t="shared" ref="F54:F60" si="3">+D54-E54</f>
        <v>0</v>
      </c>
      <c r="H54" s="439"/>
      <c r="I54" s="117" t="str">
        <f t="shared" ref="I54:I59" si="4">IF(AND(ISNUMBER(D54), ISBLANK(E54)), "Error: Missing 0-6 amount", "")</f>
        <v/>
      </c>
      <c r="K54" s="10"/>
    </row>
    <row r="55" spans="2:11">
      <c r="B55" s="488" t="s">
        <v>813</v>
      </c>
      <c r="C55" s="112" t="s">
        <v>798</v>
      </c>
      <c r="D55" s="546"/>
      <c r="E55" s="546"/>
      <c r="F55" s="485">
        <f t="shared" si="3"/>
        <v>0</v>
      </c>
      <c r="H55" s="439"/>
      <c r="I55" s="117" t="str">
        <f t="shared" si="4"/>
        <v/>
      </c>
      <c r="K55" s="10"/>
    </row>
    <row r="56" spans="2:11">
      <c r="B56" s="489" t="s">
        <v>735</v>
      </c>
      <c r="C56" s="112" t="s">
        <v>799</v>
      </c>
      <c r="D56" s="546"/>
      <c r="E56" s="546"/>
      <c r="F56" s="485">
        <f t="shared" si="3"/>
        <v>0</v>
      </c>
      <c r="H56" s="439"/>
      <c r="I56" s="117" t="str">
        <f t="shared" si="4"/>
        <v/>
      </c>
      <c r="K56" s="10"/>
    </row>
    <row r="57" spans="2:11">
      <c r="B57" s="489" t="s">
        <v>814</v>
      </c>
      <c r="C57" s="112" t="s">
        <v>846</v>
      </c>
      <c r="D57" s="546"/>
      <c r="E57" s="546"/>
      <c r="F57" s="490">
        <f t="shared" si="3"/>
        <v>0</v>
      </c>
      <c r="H57" s="439"/>
      <c r="I57" s="117" t="str">
        <f t="shared" si="4"/>
        <v/>
      </c>
      <c r="K57" s="10"/>
    </row>
    <row r="58" spans="2:11">
      <c r="B58" s="489" t="s">
        <v>839</v>
      </c>
      <c r="C58" s="112" t="s">
        <v>847</v>
      </c>
      <c r="D58" s="546"/>
      <c r="E58" s="546"/>
      <c r="F58" s="490">
        <f t="shared" si="3"/>
        <v>0</v>
      </c>
      <c r="H58" s="439"/>
      <c r="I58" s="117" t="str">
        <f t="shared" si="4"/>
        <v/>
      </c>
      <c r="K58" s="10"/>
    </row>
    <row r="59" spans="2:11">
      <c r="B59" s="489" t="s">
        <v>840</v>
      </c>
      <c r="C59" s="112" t="s">
        <v>848</v>
      </c>
      <c r="D59" s="546"/>
      <c r="E59" s="546"/>
      <c r="F59" s="490">
        <f t="shared" si="3"/>
        <v>0</v>
      </c>
      <c r="H59" s="439"/>
      <c r="I59" s="117" t="str">
        <f t="shared" si="4"/>
        <v/>
      </c>
      <c r="K59" s="10"/>
    </row>
    <row r="60" spans="2:11" ht="16" thickBot="1">
      <c r="B60" s="522" t="s">
        <v>722</v>
      </c>
      <c r="C60" s="107" t="s">
        <v>849</v>
      </c>
      <c r="D60" s="546"/>
      <c r="E60" s="546"/>
      <c r="F60" s="487">
        <f t="shared" si="3"/>
        <v>0</v>
      </c>
      <c r="H60" s="438"/>
      <c r="I60" s="117" t="str">
        <f>IF(AND(ISNUMBER(D60), ISBLANK(E60)), "Error: Missing 0-6 amount", "")</f>
        <v/>
      </c>
      <c r="K60" s="10"/>
    </row>
    <row r="61" spans="2:11" s="12" customFormat="1" ht="16" thickBot="1">
      <c r="B61" s="14"/>
      <c r="C61" s="14"/>
      <c r="D61" s="14"/>
      <c r="E61" s="14"/>
      <c r="F61" s="14"/>
      <c r="G61" s="14"/>
      <c r="H61" s="491"/>
      <c r="K61" s="10"/>
    </row>
    <row r="62" spans="2:11" ht="16" thickBot="1">
      <c r="B62" s="492" t="s">
        <v>45</v>
      </c>
      <c r="C62" s="105">
        <v>421</v>
      </c>
      <c r="D62" s="484">
        <f>SUM(D63:D69)</f>
        <v>0</v>
      </c>
      <c r="E62" s="484">
        <f>SUM(E63:E69)</f>
        <v>0</v>
      </c>
      <c r="F62" s="484">
        <f>SUM(F63:F69)</f>
        <v>0</v>
      </c>
      <c r="H62" s="493"/>
      <c r="I62" s="494"/>
      <c r="K62" s="10"/>
    </row>
    <row r="63" spans="2:11">
      <c r="B63" s="26" t="s">
        <v>178</v>
      </c>
      <c r="C63" s="106" t="s">
        <v>46</v>
      </c>
      <c r="D63" s="546"/>
      <c r="E63" s="546"/>
      <c r="F63" s="545">
        <f t="shared" ref="F63:F69" si="5">+D63-E63</f>
        <v>0</v>
      </c>
      <c r="H63" s="440"/>
      <c r="I63" s="117" t="str">
        <f>IF(AND(ISNUMBER(D63), ISBLANK(E63)), "Error: Missing 0-6 amount", "")</f>
        <v/>
      </c>
      <c r="K63" s="10"/>
    </row>
    <row r="64" spans="2:11">
      <c r="B64" s="26" t="s">
        <v>179</v>
      </c>
      <c r="C64" s="106" t="s">
        <v>48</v>
      </c>
      <c r="D64" s="546"/>
      <c r="E64" s="546"/>
      <c r="F64" s="485">
        <f t="shared" si="5"/>
        <v>0</v>
      </c>
      <c r="H64" s="437"/>
      <c r="I64" s="117" t="str">
        <f t="shared" ref="I64:I69" si="6">IF(AND(ISNUMBER(D64), ISBLANK(E64)), "Error: Missing 0-6 amount", "")</f>
        <v/>
      </c>
      <c r="K64" s="10"/>
    </row>
    <row r="65" spans="2:11">
      <c r="B65" s="26" t="s">
        <v>180</v>
      </c>
      <c r="C65" s="106" t="s">
        <v>49</v>
      </c>
      <c r="D65" s="546"/>
      <c r="E65" s="546"/>
      <c r="F65" s="485">
        <f t="shared" si="5"/>
        <v>0</v>
      </c>
      <c r="H65" s="437"/>
      <c r="I65" s="117" t="str">
        <f t="shared" si="6"/>
        <v/>
      </c>
      <c r="K65" s="10"/>
    </row>
    <row r="66" spans="2:11">
      <c r="B66" s="26" t="s">
        <v>181</v>
      </c>
      <c r="C66" s="106" t="s">
        <v>50</v>
      </c>
      <c r="D66" s="546"/>
      <c r="E66" s="546"/>
      <c r="F66" s="485">
        <f t="shared" si="5"/>
        <v>0</v>
      </c>
      <c r="H66" s="437"/>
      <c r="I66" s="117" t="str">
        <f t="shared" si="6"/>
        <v/>
      </c>
      <c r="K66" s="10"/>
    </row>
    <row r="67" spans="2:11">
      <c r="B67" s="26" t="s">
        <v>182</v>
      </c>
      <c r="C67" s="106" t="s">
        <v>183</v>
      </c>
      <c r="D67" s="546"/>
      <c r="E67" s="546"/>
      <c r="F67" s="485">
        <f t="shared" si="5"/>
        <v>0</v>
      </c>
      <c r="H67" s="440"/>
      <c r="I67" s="117" t="str">
        <f t="shared" si="6"/>
        <v/>
      </c>
      <c r="K67" s="10"/>
    </row>
    <row r="68" spans="2:11">
      <c r="B68" s="26" t="s">
        <v>184</v>
      </c>
      <c r="C68" s="106" t="s">
        <v>51</v>
      </c>
      <c r="D68" s="546"/>
      <c r="E68" s="546"/>
      <c r="F68" s="485">
        <f t="shared" si="5"/>
        <v>0</v>
      </c>
      <c r="H68" s="437"/>
      <c r="I68" s="117" t="str">
        <f t="shared" si="6"/>
        <v/>
      </c>
      <c r="K68" s="10"/>
    </row>
    <row r="69" spans="2:11" ht="16" thickBot="1">
      <c r="B69" s="111" t="s">
        <v>177</v>
      </c>
      <c r="C69" s="107" t="s">
        <v>47</v>
      </c>
      <c r="D69" s="546"/>
      <c r="E69" s="546"/>
      <c r="F69" s="487">
        <f t="shared" si="5"/>
        <v>0</v>
      </c>
      <c r="H69" s="438"/>
      <c r="I69" s="117" t="str">
        <f t="shared" si="6"/>
        <v/>
      </c>
      <c r="K69" s="10"/>
    </row>
    <row r="70" spans="2:11" s="12" customFormat="1" ht="16" thickBot="1">
      <c r="B70" s="9"/>
      <c r="C70" s="9"/>
      <c r="D70" s="9"/>
      <c r="E70" s="9"/>
      <c r="F70" s="9"/>
      <c r="H70" s="495"/>
      <c r="K70" s="10"/>
    </row>
    <row r="71" spans="2:11" s="12" customFormat="1" ht="16" thickBot="1">
      <c r="B71" s="492" t="s">
        <v>52</v>
      </c>
      <c r="C71" s="105">
        <v>431</v>
      </c>
      <c r="D71" s="484">
        <f>SUM(D72:D74)</f>
        <v>0</v>
      </c>
      <c r="E71" s="484">
        <f>SUM(E72:E74)</f>
        <v>0</v>
      </c>
      <c r="F71" s="484">
        <f>SUM(F72:F74)</f>
        <v>0</v>
      </c>
      <c r="H71" s="496"/>
      <c r="K71" s="10"/>
    </row>
    <row r="72" spans="2:11" s="12" customFormat="1">
      <c r="B72" s="26" t="s">
        <v>185</v>
      </c>
      <c r="C72" s="106" t="s">
        <v>53</v>
      </c>
      <c r="D72" s="546"/>
      <c r="E72" s="546">
        <f>IFERROR(+D72*'A2.Allocation &amp; Operating Plan'!C$53,0)</f>
        <v>0</v>
      </c>
      <c r="F72" s="545">
        <f t="shared" ref="F72:F101" si="7">+D72-E72</f>
        <v>0</v>
      </c>
      <c r="G72" s="9"/>
      <c r="H72" s="437"/>
      <c r="K72" s="10"/>
    </row>
    <row r="73" spans="2:11">
      <c r="B73" s="26" t="s">
        <v>186</v>
      </c>
      <c r="C73" s="106" t="s">
        <v>54</v>
      </c>
      <c r="D73" s="546"/>
      <c r="E73" s="27">
        <f>IFERROR(+D73*'A2.Allocation &amp; Operating Plan'!C$53,0)</f>
        <v>0</v>
      </c>
      <c r="F73" s="485">
        <f t="shared" si="7"/>
        <v>0</v>
      </c>
      <c r="G73" s="12"/>
      <c r="H73" s="437"/>
      <c r="K73" s="10"/>
    </row>
    <row r="74" spans="2:11" s="12" customFormat="1" ht="16" thickBot="1">
      <c r="B74" s="111" t="s">
        <v>177</v>
      </c>
      <c r="C74" s="107" t="s">
        <v>187</v>
      </c>
      <c r="D74" s="546"/>
      <c r="E74" s="108">
        <f>IFERROR(+D74*'A2.Allocation &amp; Operating Plan'!C$53,0)</f>
        <v>0</v>
      </c>
      <c r="F74" s="487">
        <f t="shared" si="7"/>
        <v>0</v>
      </c>
      <c r="G74" s="9"/>
      <c r="H74" s="438"/>
      <c r="K74" s="10"/>
    </row>
    <row r="75" spans="2:11" ht="16" thickBot="1">
      <c r="G75" s="12"/>
      <c r="H75" s="495"/>
      <c r="K75" s="10"/>
    </row>
    <row r="76" spans="2:11" s="12" customFormat="1" ht="16" thickBot="1">
      <c r="B76" s="492" t="s">
        <v>55</v>
      </c>
      <c r="C76" s="105">
        <v>441</v>
      </c>
      <c r="D76" s="484">
        <f>SUM(D77:D78)</f>
        <v>0</v>
      </c>
      <c r="E76" s="484">
        <f>SUM(E77:E78)</f>
        <v>0</v>
      </c>
      <c r="F76" s="484">
        <f>SUM(F77:F78)</f>
        <v>0</v>
      </c>
      <c r="H76" s="496"/>
      <c r="K76" s="10"/>
    </row>
    <row r="77" spans="2:11" s="12" customFormat="1">
      <c r="B77" s="26" t="s">
        <v>188</v>
      </c>
      <c r="C77" s="106" t="s">
        <v>56</v>
      </c>
      <c r="D77" s="546"/>
      <c r="E77" s="546">
        <f>IFERROR(+D77*'A2.Allocation &amp; Operating Plan'!C$53,0)</f>
        <v>0</v>
      </c>
      <c r="F77" s="545">
        <f t="shared" si="7"/>
        <v>0</v>
      </c>
      <c r="G77" s="9"/>
      <c r="H77" s="437"/>
      <c r="K77" s="10"/>
    </row>
    <row r="78" spans="2:11" s="12" customFormat="1" ht="16" thickBot="1">
      <c r="B78" s="111" t="s">
        <v>177</v>
      </c>
      <c r="C78" s="107" t="s">
        <v>189</v>
      </c>
      <c r="D78" s="546"/>
      <c r="E78" s="108">
        <f>IFERROR(+D78*'A2.Allocation &amp; Operating Plan'!C$53,0)</f>
        <v>0</v>
      </c>
      <c r="F78" s="487">
        <f t="shared" si="7"/>
        <v>0</v>
      </c>
      <c r="G78" s="9"/>
      <c r="H78" s="438"/>
      <c r="K78" s="10"/>
    </row>
    <row r="79" spans="2:11" ht="15.75" customHeight="1" thickBot="1">
      <c r="H79" s="495"/>
      <c r="K79" s="10"/>
    </row>
    <row r="80" spans="2:11" ht="15" customHeight="1" thickBot="1">
      <c r="B80" s="492" t="s">
        <v>57</v>
      </c>
      <c r="C80" s="105">
        <v>451</v>
      </c>
      <c r="D80" s="484">
        <f>SUM(D81:D101)</f>
        <v>0</v>
      </c>
      <c r="E80" s="484">
        <f>SUM(E81:E101)</f>
        <v>0</v>
      </c>
      <c r="F80" s="484">
        <f>SUM(F81:F101)</f>
        <v>0</v>
      </c>
      <c r="H80" s="496"/>
      <c r="K80" s="10"/>
    </row>
    <row r="81" spans="2:11" ht="14.5" customHeight="1">
      <c r="B81" s="26" t="s">
        <v>190</v>
      </c>
      <c r="C81" s="106" t="s">
        <v>58</v>
      </c>
      <c r="D81" s="546"/>
      <c r="E81" s="546">
        <f>IFERROR(+D81*'A2.Allocation &amp; Operating Plan'!C$53,0)</f>
        <v>0</v>
      </c>
      <c r="F81" s="545">
        <f t="shared" si="7"/>
        <v>0</v>
      </c>
      <c r="H81" s="437"/>
      <c r="K81" s="10"/>
    </row>
    <row r="82" spans="2:11" ht="14.5" customHeight="1">
      <c r="B82" s="497" t="s">
        <v>821</v>
      </c>
      <c r="C82" s="106" t="s">
        <v>59</v>
      </c>
      <c r="D82" s="546"/>
      <c r="E82" s="27">
        <f>IFERROR(+D82*'A2.Allocation &amp; Operating Plan'!C$53,0)</f>
        <v>0</v>
      </c>
      <c r="F82" s="485">
        <f t="shared" si="7"/>
        <v>0</v>
      </c>
      <c r="H82" s="437"/>
      <c r="K82" s="10"/>
    </row>
    <row r="83" spans="2:11" ht="14.5" customHeight="1">
      <c r="B83" s="497" t="s">
        <v>822</v>
      </c>
      <c r="C83" s="106" t="s">
        <v>409</v>
      </c>
      <c r="D83" s="546"/>
      <c r="E83" s="27">
        <f>IFERROR(+D83*'A2.Allocation &amp; Operating Plan'!C$53,0)</f>
        <v>0</v>
      </c>
      <c r="F83" s="485">
        <f t="shared" si="7"/>
        <v>0</v>
      </c>
      <c r="H83" s="437"/>
      <c r="K83" s="10"/>
    </row>
    <row r="84" spans="2:11">
      <c r="B84" s="26" t="s">
        <v>191</v>
      </c>
      <c r="C84" s="106" t="s">
        <v>60</v>
      </c>
      <c r="D84" s="546"/>
      <c r="E84" s="27">
        <f>IFERROR(+D84*'A2.Allocation &amp; Operating Plan'!C$53,0)</f>
        <v>0</v>
      </c>
      <c r="F84" s="485">
        <f t="shared" si="7"/>
        <v>0</v>
      </c>
      <c r="H84" s="437"/>
      <c r="K84" s="10"/>
    </row>
    <row r="85" spans="2:11">
      <c r="B85" s="26" t="s">
        <v>192</v>
      </c>
      <c r="C85" s="106" t="s">
        <v>61</v>
      </c>
      <c r="D85" s="546"/>
      <c r="E85" s="27">
        <f>IFERROR(+D85*'A2.Allocation &amp; Operating Plan'!C$53,0)</f>
        <v>0</v>
      </c>
      <c r="F85" s="485">
        <f>+D85-E85</f>
        <v>0</v>
      </c>
      <c r="H85" s="437"/>
      <c r="K85" s="10"/>
    </row>
    <row r="86" spans="2:11">
      <c r="B86" s="26" t="s">
        <v>193</v>
      </c>
      <c r="C86" s="106" t="s">
        <v>62</v>
      </c>
      <c r="D86" s="546"/>
      <c r="E86" s="27">
        <f>IFERROR(+D86*'A2.Allocation &amp; Operating Plan'!C$53,0)</f>
        <v>0</v>
      </c>
      <c r="F86" s="485">
        <f>+D86-E86</f>
        <v>0</v>
      </c>
      <c r="H86" s="437"/>
      <c r="K86" s="10"/>
    </row>
    <row r="87" spans="2:11">
      <c r="B87" s="26" t="s">
        <v>240</v>
      </c>
      <c r="C87" s="106" t="s">
        <v>63</v>
      </c>
      <c r="D87" s="546"/>
      <c r="E87" s="27">
        <f>IFERROR(+D87*'A2.Allocation &amp; Operating Plan'!C$53,0)</f>
        <v>0</v>
      </c>
      <c r="F87" s="485">
        <f t="shared" si="7"/>
        <v>0</v>
      </c>
      <c r="H87" s="437"/>
      <c r="K87" s="10"/>
    </row>
    <row r="88" spans="2:11">
      <c r="B88" s="26" t="s">
        <v>194</v>
      </c>
      <c r="C88" s="106" t="s">
        <v>64</v>
      </c>
      <c r="D88" s="546"/>
      <c r="E88" s="27">
        <f>IFERROR(+D88*'A2.Allocation &amp; Operating Plan'!C$53,0)</f>
        <v>0</v>
      </c>
      <c r="F88" s="485">
        <f t="shared" si="7"/>
        <v>0</v>
      </c>
      <c r="H88" s="437"/>
      <c r="K88" s="10"/>
    </row>
    <row r="89" spans="2:11">
      <c r="B89" s="20" t="s">
        <v>723</v>
      </c>
      <c r="C89" s="106" t="s">
        <v>65</v>
      </c>
      <c r="D89" s="546"/>
      <c r="E89" s="27">
        <f>IFERROR(+D89*'A2.Allocation &amp; Operating Plan'!C$53,0)</f>
        <v>0</v>
      </c>
      <c r="F89" s="485">
        <f t="shared" si="7"/>
        <v>0</v>
      </c>
      <c r="H89" s="437"/>
      <c r="K89" s="10"/>
    </row>
    <row r="90" spans="2:11">
      <c r="B90" s="20" t="s">
        <v>195</v>
      </c>
      <c r="C90" s="106" t="s">
        <v>66</v>
      </c>
      <c r="D90" s="546"/>
      <c r="E90" s="27">
        <f>IFERROR(+D90*'A2.Allocation &amp; Operating Plan'!C$53,0)</f>
        <v>0</v>
      </c>
      <c r="F90" s="485">
        <f t="shared" si="7"/>
        <v>0</v>
      </c>
      <c r="H90" s="437"/>
      <c r="K90" s="10"/>
    </row>
    <row r="91" spans="2:11">
      <c r="B91" s="26" t="s">
        <v>196</v>
      </c>
      <c r="C91" s="106" t="s">
        <v>67</v>
      </c>
      <c r="D91" s="546"/>
      <c r="E91" s="27">
        <f>IFERROR(+D91*'A2.Allocation &amp; Operating Plan'!C$53,0)</f>
        <v>0</v>
      </c>
      <c r="F91" s="485">
        <f t="shared" si="7"/>
        <v>0</v>
      </c>
      <c r="H91" s="437"/>
      <c r="K91" s="10"/>
    </row>
    <row r="92" spans="2:11">
      <c r="B92" s="26" t="s">
        <v>197</v>
      </c>
      <c r="C92" s="106" t="s">
        <v>68</v>
      </c>
      <c r="D92" s="546"/>
      <c r="E92" s="27">
        <f>IFERROR(+D92*'A2.Allocation &amp; Operating Plan'!C$53,0)</f>
        <v>0</v>
      </c>
      <c r="F92" s="485">
        <f t="shared" si="7"/>
        <v>0</v>
      </c>
      <c r="H92" s="437"/>
      <c r="K92" s="10"/>
    </row>
    <row r="93" spans="2:11">
      <c r="B93" s="26" t="s">
        <v>198</v>
      </c>
      <c r="C93" s="106" t="s">
        <v>69</v>
      </c>
      <c r="D93" s="546"/>
      <c r="E93" s="27">
        <f>IFERROR(+D93*'A2.Allocation &amp; Operating Plan'!C$53,0)</f>
        <v>0</v>
      </c>
      <c r="F93" s="485">
        <f t="shared" si="7"/>
        <v>0</v>
      </c>
      <c r="G93" s="12"/>
      <c r="H93" s="437"/>
      <c r="K93" s="10"/>
    </row>
    <row r="94" spans="2:11" s="12" customFormat="1">
      <c r="B94" s="26" t="s">
        <v>199</v>
      </c>
      <c r="C94" s="106" t="s">
        <v>70</v>
      </c>
      <c r="D94" s="546"/>
      <c r="E94" s="27">
        <f>IFERROR(+D94*'A2.Allocation &amp; Operating Plan'!C$53,0)</f>
        <v>0</v>
      </c>
      <c r="F94" s="485">
        <f t="shared" si="7"/>
        <v>0</v>
      </c>
      <c r="G94" s="9"/>
      <c r="H94" s="437"/>
      <c r="K94" s="10"/>
    </row>
    <row r="95" spans="2:11" s="12" customFormat="1">
      <c r="B95" s="20" t="s">
        <v>467</v>
      </c>
      <c r="C95" s="106" t="s">
        <v>466</v>
      </c>
      <c r="D95" s="546"/>
      <c r="E95" s="27">
        <f>IFERROR(+D95*'A2.Allocation &amp; Operating Plan'!C$53,0)</f>
        <v>0</v>
      </c>
      <c r="F95" s="485">
        <f t="shared" si="7"/>
        <v>0</v>
      </c>
      <c r="G95" s="9"/>
      <c r="H95" s="437"/>
      <c r="K95" s="10"/>
    </row>
    <row r="96" spans="2:11">
      <c r="B96" s="26" t="s">
        <v>200</v>
      </c>
      <c r="C96" s="106" t="s">
        <v>71</v>
      </c>
      <c r="D96" s="546"/>
      <c r="E96" s="27">
        <f>IFERROR(+D96*'A2.Allocation &amp; Operating Plan'!C$53,0)</f>
        <v>0</v>
      </c>
      <c r="F96" s="485">
        <f t="shared" si="7"/>
        <v>0</v>
      </c>
      <c r="H96" s="437"/>
      <c r="K96" s="10"/>
    </row>
    <row r="97" spans="2:11">
      <c r="B97" s="20" t="s">
        <v>201</v>
      </c>
      <c r="C97" s="106" t="s">
        <v>72</v>
      </c>
      <c r="D97" s="546"/>
      <c r="E97" s="27">
        <f>IFERROR(+D97*'A2.Allocation &amp; Operating Plan'!C$53,0)</f>
        <v>0</v>
      </c>
      <c r="F97" s="485">
        <f t="shared" si="7"/>
        <v>0</v>
      </c>
      <c r="H97" s="437"/>
      <c r="K97" s="10"/>
    </row>
    <row r="98" spans="2:11">
      <c r="B98" s="20" t="s">
        <v>468</v>
      </c>
      <c r="C98" s="106" t="s">
        <v>410</v>
      </c>
      <c r="D98" s="546"/>
      <c r="E98" s="27">
        <f>IFERROR(+D98*'A2.Allocation &amp; Operating Plan'!C$53,0)</f>
        <v>0</v>
      </c>
      <c r="F98" s="485">
        <f>+D98-E98</f>
        <v>0</v>
      </c>
      <c r="H98" s="437"/>
      <c r="K98" s="10"/>
    </row>
    <row r="99" spans="2:11" s="12" customFormat="1">
      <c r="B99" s="524" t="s">
        <v>177</v>
      </c>
      <c r="C99" s="106" t="s">
        <v>86</v>
      </c>
      <c r="D99" s="546"/>
      <c r="E99" s="27">
        <f>IFERROR(+D99*'A2.Allocation &amp; Operating Plan'!C$53,0)</f>
        <v>0</v>
      </c>
      <c r="F99" s="485">
        <f>+D99-E99</f>
        <v>0</v>
      </c>
      <c r="G99" s="9"/>
      <c r="H99" s="437"/>
      <c r="K99" s="10"/>
    </row>
    <row r="100" spans="2:11" s="12" customFormat="1">
      <c r="B100" s="524" t="s">
        <v>177</v>
      </c>
      <c r="C100" s="106" t="s">
        <v>854</v>
      </c>
      <c r="D100" s="546"/>
      <c r="E100" s="27">
        <f>IFERROR(+D100*'A2.Allocation &amp; Operating Plan'!C$53,0)</f>
        <v>0</v>
      </c>
      <c r="F100" s="485">
        <f>+D100-E100</f>
        <v>0</v>
      </c>
      <c r="G100" s="9"/>
      <c r="H100" s="437"/>
      <c r="K100" s="10"/>
    </row>
    <row r="101" spans="2:11" ht="16" thickBot="1">
      <c r="B101" s="111" t="s">
        <v>177</v>
      </c>
      <c r="C101" s="107" t="s">
        <v>853</v>
      </c>
      <c r="D101" s="546"/>
      <c r="E101" s="108">
        <f>IFERROR(+D101*'A2.Allocation &amp; Operating Plan'!C$53,0)</f>
        <v>0</v>
      </c>
      <c r="F101" s="487">
        <f t="shared" si="7"/>
        <v>0</v>
      </c>
      <c r="H101" s="438"/>
      <c r="K101" s="10"/>
    </row>
    <row r="102" spans="2:11" ht="16" thickBot="1">
      <c r="G102" s="12"/>
      <c r="H102" s="495"/>
      <c r="K102" s="10"/>
    </row>
    <row r="103" spans="2:11" s="12" customFormat="1" ht="16" thickBot="1">
      <c r="B103" s="492" t="s">
        <v>139</v>
      </c>
      <c r="C103" s="105">
        <v>461</v>
      </c>
      <c r="D103" s="484">
        <f>SUM(D104:D108)</f>
        <v>0</v>
      </c>
      <c r="E103" s="484">
        <f>SUM(E104:E108)</f>
        <v>0</v>
      </c>
      <c r="F103" s="484">
        <f>SUM(F104:F108)</f>
        <v>0</v>
      </c>
      <c r="H103" s="496"/>
      <c r="K103" s="10"/>
    </row>
    <row r="104" spans="2:11" s="12" customFormat="1" hidden="1">
      <c r="B104" s="26" t="s">
        <v>202</v>
      </c>
      <c r="C104" s="106" t="s">
        <v>73</v>
      </c>
      <c r="D104" s="547"/>
      <c r="E104" s="547"/>
      <c r="F104" s="545">
        <f>+D104-E104</f>
        <v>0</v>
      </c>
      <c r="H104" s="486"/>
      <c r="K104" s="10"/>
    </row>
    <row r="105" spans="2:11" s="12" customFormat="1">
      <c r="B105" s="26" t="s">
        <v>203</v>
      </c>
      <c r="C105" s="106" t="s">
        <v>74</v>
      </c>
      <c r="D105" s="546"/>
      <c r="E105" s="546">
        <f>IFERROR(+D105*'A2.Allocation &amp; Operating Plan'!C$53,0)</f>
        <v>0</v>
      </c>
      <c r="F105" s="485">
        <f>+D105-E105</f>
        <v>0</v>
      </c>
      <c r="H105" s="437"/>
      <c r="K105" s="10"/>
    </row>
    <row r="106" spans="2:11" s="12" customFormat="1">
      <c r="B106" s="26" t="s">
        <v>204</v>
      </c>
      <c r="C106" s="106" t="s">
        <v>75</v>
      </c>
      <c r="D106" s="546"/>
      <c r="E106" s="546">
        <f>IFERROR(+D106*'A2.Allocation &amp; Operating Plan'!C$53,0)</f>
        <v>0</v>
      </c>
      <c r="F106" s="485">
        <f>+D106-E106</f>
        <v>0</v>
      </c>
      <c r="H106" s="437"/>
      <c r="K106" s="10"/>
    </row>
    <row r="107" spans="2:11" s="12" customFormat="1">
      <c r="B107" s="26" t="s">
        <v>205</v>
      </c>
      <c r="C107" s="106" t="s">
        <v>411</v>
      </c>
      <c r="D107" s="546"/>
      <c r="E107" s="546">
        <f>IFERROR(+D107*'A2.Allocation &amp; Operating Plan'!C$53,0)</f>
        <v>0</v>
      </c>
      <c r="F107" s="485">
        <f>+D107-E107</f>
        <v>0</v>
      </c>
      <c r="H107" s="437"/>
      <c r="K107" s="10"/>
    </row>
    <row r="108" spans="2:11" s="12" customFormat="1" ht="16" thickBot="1">
      <c r="B108" s="111" t="s">
        <v>177</v>
      </c>
      <c r="C108" s="107" t="s">
        <v>412</v>
      </c>
      <c r="D108" s="546"/>
      <c r="E108" s="546">
        <f>IFERROR(+D108*'A2.Allocation &amp; Operating Plan'!C$53,0)</f>
        <v>0</v>
      </c>
      <c r="F108" s="487">
        <f>+D108-E108</f>
        <v>0</v>
      </c>
      <c r="H108" s="438"/>
      <c r="K108" s="10"/>
    </row>
    <row r="109" spans="2:11" ht="16" thickBot="1">
      <c r="C109" s="12"/>
      <c r="D109" s="12"/>
      <c r="E109" s="498"/>
      <c r="F109" s="498"/>
      <c r="G109" s="12"/>
      <c r="H109" s="10"/>
    </row>
    <row r="110" spans="2:11" ht="16" thickBot="1">
      <c r="B110" s="492" t="s">
        <v>953</v>
      </c>
      <c r="C110" s="105">
        <v>465</v>
      </c>
      <c r="D110" s="484">
        <f>SUM(D111)</f>
        <v>0</v>
      </c>
      <c r="E110" s="484">
        <f>SUM(E111)</f>
        <v>0</v>
      </c>
      <c r="F110" s="484">
        <f>SUM(F111)</f>
        <v>0</v>
      </c>
    </row>
    <row r="111" spans="2:11" ht="16" thickBot="1">
      <c r="B111" s="499" t="s">
        <v>354</v>
      </c>
      <c r="C111" s="500" t="s">
        <v>861</v>
      </c>
      <c r="D111" s="919">
        <f>'A3. Peel Region Grants'!D117</f>
        <v>0</v>
      </c>
      <c r="E111" s="982">
        <f>D111</f>
        <v>0</v>
      </c>
      <c r="F111" s="551">
        <f>D111-E111</f>
        <v>0</v>
      </c>
      <c r="H111" s="555" t="s">
        <v>881</v>
      </c>
      <c r="I111" s="14"/>
      <c r="J111" s="14"/>
      <c r="K111" s="14"/>
    </row>
    <row r="112" spans="2:11" ht="16" thickBot="1">
      <c r="C112" s="12"/>
      <c r="D112" s="12"/>
      <c r="E112" s="498"/>
      <c r="F112" s="498"/>
      <c r="G112" s="12"/>
      <c r="H112" s="10"/>
    </row>
    <row r="113" spans="2:8" s="12" customFormat="1" ht="16" thickBot="1">
      <c r="B113" s="501" t="s">
        <v>76</v>
      </c>
      <c r="C113" s="105">
        <v>471</v>
      </c>
      <c r="D113" s="484">
        <f>SUM(D114:D116)</f>
        <v>0</v>
      </c>
      <c r="E113" s="484">
        <f>SUM(E114:E116)</f>
        <v>0</v>
      </c>
      <c r="F113" s="484"/>
      <c r="H113" s="9"/>
    </row>
    <row r="114" spans="2:8" s="12" customFormat="1">
      <c r="B114" s="102" t="s">
        <v>44</v>
      </c>
      <c r="C114" s="106" t="s">
        <v>413</v>
      </c>
      <c r="D114" s="546"/>
      <c r="E114" s="552">
        <f>D114</f>
        <v>0</v>
      </c>
      <c r="F114" s="553"/>
      <c r="H114" s="9"/>
    </row>
    <row r="115" spans="2:8" s="12" customFormat="1">
      <c r="B115" s="102" t="s">
        <v>44</v>
      </c>
      <c r="C115" s="106" t="s">
        <v>414</v>
      </c>
      <c r="D115" s="546"/>
      <c r="E115" s="468">
        <f>D115</f>
        <v>0</v>
      </c>
      <c r="F115" s="466"/>
      <c r="H115" s="9"/>
    </row>
    <row r="116" spans="2:8" s="12" customFormat="1" ht="16" thickBot="1">
      <c r="B116" s="113" t="s">
        <v>44</v>
      </c>
      <c r="C116" s="107" t="s">
        <v>415</v>
      </c>
      <c r="D116" s="546"/>
      <c r="E116" s="502">
        <f>D116</f>
        <v>0</v>
      </c>
      <c r="F116" s="503"/>
      <c r="H116" s="10"/>
    </row>
    <row r="117" spans="2:8" s="12" customFormat="1" ht="16" thickBot="1">
      <c r="B117" s="9"/>
      <c r="C117" s="9"/>
      <c r="D117" s="9"/>
      <c r="E117" s="9"/>
      <c r="F117" s="9"/>
      <c r="H117" s="9"/>
    </row>
    <row r="118" spans="2:8" s="12" customFormat="1" ht="16" thickBot="1">
      <c r="B118" s="501" t="s">
        <v>810</v>
      </c>
      <c r="C118" s="105">
        <v>481</v>
      </c>
      <c r="D118" s="484">
        <f>SUM(D119:D121)</f>
        <v>0</v>
      </c>
      <c r="E118" s="484">
        <f>SUM(E119:E121)</f>
        <v>0</v>
      </c>
      <c r="F118" s="484"/>
      <c r="H118" s="9"/>
    </row>
    <row r="119" spans="2:8" s="12" customFormat="1">
      <c r="B119" s="102" t="s">
        <v>44</v>
      </c>
      <c r="C119" s="106" t="s">
        <v>416</v>
      </c>
      <c r="D119" s="546"/>
      <c r="E119" s="552">
        <f>D119</f>
        <v>0</v>
      </c>
      <c r="F119" s="553"/>
      <c r="H119" s="9"/>
    </row>
    <row r="120" spans="2:8" s="12" customFormat="1">
      <c r="B120" s="102" t="s">
        <v>44</v>
      </c>
      <c r="C120" s="106" t="s">
        <v>417</v>
      </c>
      <c r="D120" s="546"/>
      <c r="E120" s="468">
        <f>D120</f>
        <v>0</v>
      </c>
      <c r="F120" s="466"/>
      <c r="H120" s="9"/>
    </row>
    <row r="121" spans="2:8" s="12" customFormat="1" ht="16" thickBot="1">
      <c r="B121" s="113" t="s">
        <v>44</v>
      </c>
      <c r="C121" s="107" t="s">
        <v>418</v>
      </c>
      <c r="D121" s="546"/>
      <c r="E121" s="502">
        <f>D121</f>
        <v>0</v>
      </c>
      <c r="F121" s="503"/>
      <c r="H121" s="9"/>
    </row>
    <row r="122" spans="2:8" s="12" customFormat="1" ht="16" thickBot="1">
      <c r="B122" s="9"/>
      <c r="C122" s="9"/>
      <c r="D122" s="9"/>
      <c r="E122" s="9"/>
      <c r="F122" s="9"/>
      <c r="H122" s="9"/>
    </row>
    <row r="123" spans="2:8" ht="16" thickBot="1">
      <c r="B123" s="504" t="s">
        <v>206</v>
      </c>
      <c r="C123" s="505">
        <v>490</v>
      </c>
      <c r="D123" s="506">
        <f>+D80+D71+D62+D35+D76+D113+D118+D110+D103</f>
        <v>0</v>
      </c>
      <c r="E123" s="506">
        <f>+E80+E71+E62+E35+E76+E113+E118+E110+E103</f>
        <v>0</v>
      </c>
      <c r="F123" s="507">
        <f>+F80+F71+F62+F35+F76+F110+F103</f>
        <v>0</v>
      </c>
      <c r="H123" s="77"/>
    </row>
    <row r="124" spans="2:8" ht="16" thickBot="1"/>
    <row r="125" spans="2:8" ht="16" thickBot="1">
      <c r="B125" s="504" t="s">
        <v>207</v>
      </c>
      <c r="C125" s="508" t="s">
        <v>167</v>
      </c>
      <c r="D125" s="509">
        <f>+D30-D123</f>
        <v>0</v>
      </c>
      <c r="E125" s="509">
        <f>+E30-E123</f>
        <v>0</v>
      </c>
      <c r="F125" s="510">
        <f>+F30-F123</f>
        <v>0</v>
      </c>
      <c r="H125" s="12"/>
    </row>
    <row r="126" spans="2:8">
      <c r="B126" s="511"/>
      <c r="D126" s="512"/>
      <c r="E126" s="512"/>
      <c r="F126" s="512"/>
      <c r="H126" s="12"/>
    </row>
    <row r="127" spans="2:8">
      <c r="H127" s="12"/>
    </row>
    <row r="128" spans="2:8">
      <c r="H128" s="12"/>
    </row>
    <row r="129" spans="2:13" ht="24" hidden="1" thickBot="1">
      <c r="B129" s="1196" t="str">
        <f>IF('A1. Identification'!B6=0, " ", "CWELCC Reconciliation of "&amp; 'A2.Allocation &amp; Operating Plan'!$C$37)</f>
        <v xml:space="preserve">CWELCC Reconciliation of  </v>
      </c>
      <c r="C129" s="1197"/>
      <c r="D129" s="1197"/>
      <c r="E129" s="1197"/>
    </row>
    <row r="130" spans="2:13" ht="24" hidden="1" thickBot="1">
      <c r="B130" s="557"/>
      <c r="C130" s="557"/>
      <c r="D130" s="557"/>
      <c r="E130" s="557"/>
    </row>
    <row r="131" spans="2:13" ht="42.5" hidden="1" outlineLevel="1" thickBot="1">
      <c r="B131" s="1198" t="s">
        <v>357</v>
      </c>
      <c r="C131" s="1199"/>
      <c r="D131" s="559" t="s">
        <v>23</v>
      </c>
      <c r="E131" s="557"/>
    </row>
    <row r="132" spans="2:13" hidden="1" outlineLevel="1">
      <c r="B132" s="1200" t="s">
        <v>33</v>
      </c>
      <c r="C132" s="1200"/>
      <c r="D132" s="876">
        <f>'A2.Allocation &amp; Operating Plan'!E20</f>
        <v>0</v>
      </c>
      <c r="E132" s="558"/>
      <c r="F132" s="14"/>
      <c r="G132" s="14"/>
      <c r="H132" s="14"/>
    </row>
    <row r="133" spans="2:13" hidden="1" outlineLevel="1">
      <c r="B133" s="1201" t="s">
        <v>237</v>
      </c>
      <c r="C133" s="1201"/>
      <c r="D133" s="561">
        <f>'A2.Allocation &amp; Operating Plan'!E23</f>
        <v>0</v>
      </c>
      <c r="E133" s="558"/>
      <c r="F133" s="14"/>
      <c r="G133" s="14"/>
      <c r="H133" s="14"/>
    </row>
    <row r="134" spans="2:13" ht="30" hidden="1" outlineLevel="1">
      <c r="B134" s="1178" t="s">
        <v>87</v>
      </c>
      <c r="C134" s="1179"/>
      <c r="D134" s="564">
        <f>D132+D133</f>
        <v>0</v>
      </c>
      <c r="E134" s="558"/>
      <c r="F134" s="14"/>
      <c r="G134" s="514"/>
      <c r="H134" s="515"/>
      <c r="I134" s="514"/>
      <c r="J134" s="514"/>
      <c r="K134" s="516"/>
      <c r="L134" s="14"/>
      <c r="M134" s="14"/>
    </row>
    <row r="135" spans="2:13" ht="29.5" hidden="1" outlineLevel="1">
      <c r="B135" s="565" t="s">
        <v>390</v>
      </c>
      <c r="C135" s="563"/>
      <c r="D135" s="564"/>
      <c r="E135" s="558"/>
      <c r="F135" s="14"/>
      <c r="G135" s="517"/>
      <c r="H135" s="518"/>
      <c r="I135" s="517"/>
      <c r="J135" s="517"/>
      <c r="K135" s="519"/>
      <c r="L135" s="14"/>
      <c r="M135" s="14"/>
    </row>
    <row r="136" spans="2:13" ht="29.5" hidden="1" outlineLevel="1">
      <c r="B136" s="1204" t="s">
        <v>358</v>
      </c>
      <c r="C136" s="1204"/>
      <c r="D136" s="877">
        <f>-E20</f>
        <v>0</v>
      </c>
      <c r="E136" s="558"/>
      <c r="F136" s="14"/>
      <c r="G136" s="517"/>
      <c r="H136" s="518"/>
      <c r="I136" s="517"/>
      <c r="J136" s="517"/>
      <c r="K136" s="519"/>
      <c r="L136" s="14"/>
      <c r="M136" s="14"/>
    </row>
    <row r="137" spans="2:13" ht="29.5" hidden="1" outlineLevel="1">
      <c r="B137" s="1204" t="s">
        <v>359</v>
      </c>
      <c r="C137" s="1204"/>
      <c r="D137" s="566"/>
      <c r="E137" s="558"/>
      <c r="F137" s="14"/>
      <c r="G137" s="517"/>
      <c r="H137" s="518"/>
      <c r="I137" s="517"/>
      <c r="J137" s="517"/>
      <c r="K137" s="519"/>
      <c r="L137" s="14"/>
      <c r="M137" s="14"/>
    </row>
    <row r="138" spans="2:13" ht="29.5" hidden="1" outlineLevel="1">
      <c r="B138" s="1205" t="s">
        <v>360</v>
      </c>
      <c r="C138" s="1206"/>
      <c r="D138" s="878">
        <f>-E21</f>
        <v>0</v>
      </c>
      <c r="E138" s="558"/>
      <c r="F138" s="14"/>
      <c r="G138" s="517"/>
      <c r="H138" s="518"/>
      <c r="I138" s="517"/>
      <c r="J138" s="517"/>
      <c r="K138" s="519"/>
      <c r="L138" s="14"/>
      <c r="M138" s="14"/>
    </row>
    <row r="139" spans="2:13" ht="29.5" hidden="1" outlineLevel="1">
      <c r="B139" s="1178" t="s">
        <v>438</v>
      </c>
      <c r="C139" s="1179"/>
      <c r="D139" s="568">
        <f>D137+D138+D136</f>
        <v>0</v>
      </c>
      <c r="E139" s="558"/>
      <c r="F139" s="14"/>
      <c r="G139" s="517"/>
      <c r="H139" s="518"/>
      <c r="I139" s="517"/>
      <c r="J139" s="517"/>
      <c r="K139" s="519"/>
      <c r="L139" s="14"/>
      <c r="M139" s="14"/>
    </row>
    <row r="140" spans="2:13" ht="29.5" hidden="1" outlineLevel="1">
      <c r="B140" s="562"/>
      <c r="C140" s="563"/>
      <c r="D140" s="569"/>
      <c r="E140" s="558"/>
      <c r="F140" s="14"/>
      <c r="G140" s="517"/>
      <c r="H140" s="518"/>
      <c r="I140" s="517"/>
      <c r="J140" s="517"/>
      <c r="K140" s="519"/>
      <c r="L140" s="14"/>
      <c r="M140" s="14"/>
    </row>
    <row r="141" spans="2:13" ht="29.5" hidden="1" outlineLevel="1">
      <c r="B141" s="1207" t="s">
        <v>380</v>
      </c>
      <c r="C141" s="1207"/>
      <c r="D141" s="570">
        <f>D134+D139</f>
        <v>0</v>
      </c>
      <c r="E141" s="557"/>
      <c r="F141" s="14"/>
      <c r="G141" s="517"/>
      <c r="H141" s="518"/>
      <c r="I141" s="517"/>
      <c r="J141" s="517"/>
      <c r="K141" s="519"/>
      <c r="L141" s="14"/>
      <c r="M141" s="14"/>
    </row>
    <row r="142" spans="2:13" ht="29.5" hidden="1" outlineLevel="1">
      <c r="B142" s="571"/>
      <c r="C142" s="571"/>
      <c r="D142" s="572"/>
      <c r="E142" s="557"/>
      <c r="F142" s="14"/>
      <c r="G142" s="517"/>
      <c r="H142" s="518"/>
      <c r="I142" s="517"/>
      <c r="J142" s="517"/>
      <c r="K142" s="519"/>
      <c r="L142" s="14"/>
      <c r="M142" s="14"/>
    </row>
    <row r="143" spans="2:13" ht="29.5" hidden="1" outlineLevel="1">
      <c r="B143" s="573" t="s">
        <v>39</v>
      </c>
      <c r="C143" s="574" t="s">
        <v>90</v>
      </c>
      <c r="D143" s="575" t="s">
        <v>344</v>
      </c>
      <c r="E143"/>
      <c r="F143" s="14"/>
      <c r="G143" s="517"/>
      <c r="H143" s="518"/>
      <c r="I143" s="517"/>
      <c r="J143" s="517"/>
      <c r="K143" s="519"/>
      <c r="L143" s="14"/>
      <c r="M143" s="14"/>
    </row>
    <row r="144" spans="2:13" ht="29.5" hidden="1" outlineLevel="1">
      <c r="B144" s="536" t="s">
        <v>485</v>
      </c>
      <c r="C144" s="537"/>
      <c r="D144" s="879">
        <f>E123</f>
        <v>0</v>
      </c>
      <c r="E144"/>
      <c r="F144" s="14"/>
      <c r="G144" s="517"/>
      <c r="H144" s="518"/>
      <c r="I144" s="517"/>
      <c r="J144" s="517"/>
      <c r="K144" s="519"/>
      <c r="L144" s="14"/>
      <c r="M144" s="14"/>
    </row>
    <row r="145" spans="2:13" ht="29.5" hidden="1" outlineLevel="1">
      <c r="B145" s="536" t="s">
        <v>336</v>
      </c>
      <c r="C145" s="537"/>
      <c r="D145" s="538"/>
      <c r="E145"/>
      <c r="F145" s="14"/>
      <c r="G145" s="517"/>
      <c r="H145" s="518"/>
      <c r="I145" s="517"/>
      <c r="J145" s="517"/>
      <c r="K145" s="519"/>
      <c r="L145" s="14"/>
      <c r="M145" s="14"/>
    </row>
    <row r="146" spans="2:13" ht="29.5" hidden="1" outlineLevel="1">
      <c r="B146" s="536" t="s">
        <v>393</v>
      </c>
      <c r="C146" s="537"/>
      <c r="D146" s="539"/>
      <c r="E146" s="3"/>
      <c r="F146" s="14"/>
      <c r="G146" s="517"/>
      <c r="H146" s="518"/>
      <c r="I146" s="517"/>
      <c r="J146" s="517"/>
      <c r="K146" s="519"/>
      <c r="L146" s="14"/>
      <c r="M146" s="14"/>
    </row>
    <row r="147" spans="2:13" ht="29.5" hidden="1" outlineLevel="1">
      <c r="B147" s="540" t="s">
        <v>476</v>
      </c>
      <c r="C147" s="537"/>
      <c r="D147" s="541"/>
      <c r="E147"/>
      <c r="F147" s="14"/>
      <c r="G147" s="517"/>
      <c r="H147" s="518"/>
      <c r="I147" s="517"/>
      <c r="J147" s="517"/>
      <c r="K147" s="519"/>
      <c r="L147" s="14"/>
      <c r="M147" s="14"/>
    </row>
    <row r="148" spans="2:13" ht="29.5" hidden="1" outlineLevel="1">
      <c r="B148" s="577" t="s">
        <v>477</v>
      </c>
      <c r="C148" s="542"/>
      <c r="D148" s="541"/>
      <c r="E148"/>
      <c r="F148" s="14"/>
      <c r="G148" s="517"/>
      <c r="H148" s="518"/>
      <c r="I148" s="517"/>
      <c r="J148" s="517"/>
      <c r="K148" s="519"/>
      <c r="L148" s="14"/>
      <c r="M148" s="14"/>
    </row>
    <row r="149" spans="2:13" ht="29.5" hidden="1" outlineLevel="1">
      <c r="B149" s="865" t="s">
        <v>888</v>
      </c>
      <c r="C149" s="537"/>
      <c r="D149" s="880">
        <f>-E59</f>
        <v>0</v>
      </c>
      <c r="E149"/>
      <c r="F149" s="14"/>
      <c r="G149" s="517"/>
      <c r="H149" s="518"/>
      <c r="I149" s="517"/>
      <c r="J149" s="517"/>
      <c r="K149" s="519"/>
      <c r="L149" s="14"/>
      <c r="M149" s="14"/>
    </row>
    <row r="150" spans="2:13" ht="29.5" hidden="1" outlineLevel="1">
      <c r="B150" s="577" t="s">
        <v>889</v>
      </c>
      <c r="C150" s="542"/>
      <c r="D150" s="880">
        <f>-E83</f>
        <v>0</v>
      </c>
      <c r="E150"/>
      <c r="F150" s="14"/>
      <c r="G150" s="517"/>
      <c r="H150" s="518"/>
      <c r="I150" s="517"/>
      <c r="J150" s="517"/>
      <c r="K150" s="519"/>
      <c r="L150" s="14"/>
      <c r="M150" s="14"/>
    </row>
    <row r="151" spans="2:13" ht="29.5" hidden="1" outlineLevel="1">
      <c r="B151" s="577" t="s">
        <v>890</v>
      </c>
      <c r="C151" s="542"/>
      <c r="D151" s="880">
        <f>-E106</f>
        <v>0</v>
      </c>
      <c r="E151"/>
      <c r="F151" s="14"/>
      <c r="G151" s="517"/>
      <c r="H151" s="518"/>
      <c r="I151" s="517"/>
      <c r="J151" s="517"/>
      <c r="K151" s="519"/>
      <c r="L151" s="14"/>
      <c r="M151" s="14"/>
    </row>
    <row r="152" spans="2:13" ht="29.5" hidden="1" outlineLevel="1">
      <c r="B152" s="577" t="s">
        <v>862</v>
      </c>
      <c r="C152" s="542"/>
      <c r="D152" s="880">
        <f>-E97</f>
        <v>0</v>
      </c>
      <c r="E152"/>
      <c r="F152" s="14"/>
      <c r="G152" s="517"/>
      <c r="H152" s="518"/>
      <c r="I152" s="517"/>
      <c r="J152" s="517"/>
      <c r="K152" s="519"/>
      <c r="L152" s="14"/>
      <c r="M152" s="14"/>
    </row>
    <row r="153" spans="2:13" ht="29.5" hidden="1" outlineLevel="1">
      <c r="B153" s="540" t="s">
        <v>891</v>
      </c>
      <c r="C153" s="537"/>
      <c r="D153" s="880">
        <f>-E113</f>
        <v>0</v>
      </c>
      <c r="E153"/>
      <c r="F153" s="14"/>
      <c r="G153" s="517"/>
      <c r="H153" s="518"/>
      <c r="I153" s="517"/>
      <c r="J153" s="517"/>
      <c r="K153" s="519"/>
      <c r="L153" s="14"/>
      <c r="M153" s="14"/>
    </row>
    <row r="154" spans="2:13" ht="29.5" hidden="1" outlineLevel="1">
      <c r="B154" s="540" t="s">
        <v>892</v>
      </c>
      <c r="C154" s="537"/>
      <c r="D154" s="880">
        <f>-E118</f>
        <v>0</v>
      </c>
      <c r="E154"/>
      <c r="F154" s="14"/>
      <c r="G154" s="517"/>
      <c r="H154" s="518"/>
      <c r="I154" s="517"/>
      <c r="J154" s="517"/>
      <c r="K154" s="520"/>
      <c r="L154" s="14"/>
      <c r="M154" s="14"/>
    </row>
    <row r="155" spans="2:13" hidden="1" outlineLevel="1">
      <c r="B155" s="540" t="s">
        <v>893</v>
      </c>
      <c r="C155" s="537"/>
      <c r="D155" s="541"/>
      <c r="E155"/>
      <c r="F155" s="14"/>
      <c r="G155" s="14"/>
      <c r="H155" s="14"/>
      <c r="I155" s="14"/>
      <c r="J155" s="14"/>
      <c r="K155" s="14"/>
      <c r="L155" s="14"/>
      <c r="M155" s="14"/>
    </row>
    <row r="156" spans="2:13" ht="18.5" hidden="1" outlineLevel="1">
      <c r="B156" s="865" t="s">
        <v>894</v>
      </c>
      <c r="C156" s="537"/>
      <c r="D156" s="543"/>
      <c r="E156"/>
      <c r="F156" s="14"/>
      <c r="G156" s="14"/>
      <c r="H156" s="14"/>
      <c r="I156" s="14"/>
      <c r="J156" s="14"/>
      <c r="K156" s="14"/>
      <c r="L156" s="14"/>
      <c r="M156" s="14"/>
    </row>
    <row r="157" spans="2:13" hidden="1" outlineLevel="1">
      <c r="B157" s="536" t="s">
        <v>342</v>
      </c>
      <c r="C157" s="537"/>
      <c r="D157" s="544">
        <f>SUM(D146:D156)</f>
        <v>0</v>
      </c>
      <c r="E157"/>
      <c r="F157" s="14"/>
      <c r="G157" s="14"/>
      <c r="H157" s="14"/>
      <c r="I157" s="14"/>
      <c r="J157" s="14"/>
      <c r="K157" s="14"/>
      <c r="L157" s="14"/>
      <c r="M157" s="14"/>
    </row>
    <row r="158" spans="2:13" hidden="1" outlineLevel="1">
      <c r="B158" s="536"/>
      <c r="C158" s="537"/>
      <c r="D158" s="538"/>
      <c r="E158"/>
      <c r="F158" s="14"/>
      <c r="G158" s="14"/>
      <c r="H158" s="14"/>
    </row>
    <row r="159" spans="2:13" hidden="1" outlineLevel="1">
      <c r="B159" s="536" t="s">
        <v>343</v>
      </c>
      <c r="C159" s="537"/>
      <c r="D159" s="538">
        <f>+D144+D157</f>
        <v>0</v>
      </c>
      <c r="E159" s="578"/>
      <c r="F159" s="14"/>
      <c r="G159" s="14"/>
      <c r="H159" s="14"/>
    </row>
    <row r="160" spans="2:13" hidden="1" outlineLevel="1">
      <c r="B160" s="536"/>
      <c r="C160" s="537"/>
      <c r="D160" s="538"/>
      <c r="E160"/>
      <c r="F160" s="14"/>
      <c r="G160" s="14"/>
      <c r="H160" s="14"/>
    </row>
    <row r="161" spans="2:8" hidden="1" outlineLevel="1">
      <c r="B161" s="536" t="s">
        <v>345</v>
      </c>
      <c r="C161" s="537"/>
      <c r="D161" s="538">
        <f>IFERROR('A2.Allocation &amp; Operating Plan'!E20,0)</f>
        <v>0</v>
      </c>
      <c r="E161"/>
      <c r="F161" s="14"/>
      <c r="G161" s="14"/>
      <c r="H161" s="14"/>
    </row>
    <row r="162" spans="2:8" hidden="1" outlineLevel="1">
      <c r="B162" s="536"/>
      <c r="C162" s="537"/>
      <c r="D162" s="538"/>
      <c r="E162"/>
      <c r="F162" s="14"/>
      <c r="G162" s="14"/>
      <c r="H162" s="14"/>
    </row>
    <row r="163" spans="2:8" hidden="1" outlineLevel="1">
      <c r="B163" s="536" t="s">
        <v>346</v>
      </c>
      <c r="C163" s="537"/>
      <c r="D163" s="538">
        <f>IF(D159&gt;D161,0,ROUND(D161-D159,2))</f>
        <v>0</v>
      </c>
      <c r="E163"/>
      <c r="F163" s="14"/>
      <c r="G163" s="14"/>
      <c r="H163" s="14"/>
    </row>
    <row r="164" spans="2:8" hidden="1" outlineLevel="1">
      <c r="B164" s="536" t="str">
        <f>IF(Table132[[#This Row],[Amounts]]&gt;0,"Underspending of CWELCC program applied to OTEF", " ")</f>
        <v xml:space="preserve"> </v>
      </c>
      <c r="C164" s="581"/>
      <c r="D164" s="538"/>
      <c r="E164"/>
      <c r="F164" s="14"/>
      <c r="G164" s="14"/>
      <c r="H164" s="14"/>
    </row>
    <row r="165" spans="2:8" hidden="1" outlineLevel="1">
      <c r="B165" s="577" t="s">
        <v>857</v>
      </c>
      <c r="C165" s="542"/>
      <c r="D165" s="538"/>
      <c r="E165"/>
      <c r="F165" s="14"/>
      <c r="G165" s="14"/>
      <c r="H165" s="14"/>
    </row>
    <row r="166" spans="2:8" hidden="1" outlineLevel="1">
      <c r="B166" s="582" t="s">
        <v>350</v>
      </c>
      <c r="C166" s="583"/>
      <c r="D166" s="584">
        <f>ROUND(D163-D164,2)</f>
        <v>0</v>
      </c>
      <c r="E166"/>
      <c r="F166" s="521"/>
      <c r="G166" s="14"/>
      <c r="H166" s="14"/>
    </row>
    <row r="167" spans="2:8" hidden="1" outlineLevel="1">
      <c r="B167" s="585"/>
      <c r="C167" s="586"/>
      <c r="D167" s="587"/>
      <c r="E167" s="588"/>
      <c r="F167" s="14"/>
      <c r="G167" s="14"/>
      <c r="H167" s="14"/>
    </row>
    <row r="168" spans="2:8" ht="18.5" hidden="1" outlineLevel="1">
      <c r="B168" s="104" t="str">
        <f>IF(C236&gt;0,"*Important Note: CWELCC program allocation underspending of $" &amp;ROUND(C236,0)&amp; " is being applied to your OTEF grant to maximize your Cost based funding, your remaining amount in Program cost underspending is $"&amp;D166," ")</f>
        <v xml:space="preserve"> </v>
      </c>
      <c r="C168"/>
      <c r="D168" s="57"/>
      <c r="E168" s="589"/>
      <c r="F168" s="14"/>
      <c r="G168" s="14"/>
      <c r="H168" s="14"/>
    </row>
    <row r="169" spans="2:8" ht="16" hidden="1" outlineLevel="1" thickBot="1">
      <c r="B169"/>
      <c r="C169"/>
      <c r="D169"/>
      <c r="E169" s="3"/>
      <c r="F169" s="14"/>
      <c r="G169" s="14"/>
      <c r="H169" s="14"/>
    </row>
    <row r="170" spans="2:8" ht="24" hidden="1" outlineLevel="1" thickBot="1">
      <c r="B170" s="590" t="s">
        <v>373</v>
      </c>
      <c r="C170" s="591"/>
      <c r="D170" s="591"/>
      <c r="E170" s="591"/>
      <c r="F170" s="14"/>
      <c r="G170" s="14"/>
      <c r="H170" s="14"/>
    </row>
    <row r="171" spans="2:8" hidden="1" outlineLevel="1">
      <c r="B171"/>
      <c r="C171"/>
      <c r="D171"/>
      <c r="E171" s="3"/>
      <c r="F171" s="14"/>
      <c r="G171" s="14"/>
      <c r="H171" s="14"/>
    </row>
    <row r="172" spans="2:8" hidden="1" outlineLevel="1">
      <c r="B172"/>
      <c r="C172"/>
      <c r="D172"/>
      <c r="E172" s="3"/>
      <c r="F172" s="14"/>
      <c r="G172" s="14"/>
      <c r="H172" s="14"/>
    </row>
    <row r="173" spans="2:8" ht="21" hidden="1" outlineLevel="1">
      <c r="B173" s="1208" t="s">
        <v>221</v>
      </c>
      <c r="C173" s="1209"/>
      <c r="D173" s="1209"/>
      <c r="E173" s="593"/>
      <c r="F173" s="14"/>
      <c r="G173" s="14"/>
      <c r="H173" s="14"/>
    </row>
    <row r="174" spans="2:8" hidden="1" outlineLevel="1">
      <c r="B174" s="1202" t="s">
        <v>77</v>
      </c>
      <c r="C174" s="1202"/>
      <c r="D174" s="1202"/>
      <c r="E174" s="594">
        <f>IFERROR((IF(D161-D185&lt;0,0,D161-D185)),0)</f>
        <v>0</v>
      </c>
      <c r="F174" s="14"/>
      <c r="G174" s="14"/>
      <c r="H174" s="14"/>
    </row>
    <row r="175" spans="2:8" hidden="1" outlineLevel="1">
      <c r="B175" s="1202" t="s">
        <v>78</v>
      </c>
      <c r="C175" s="1202"/>
      <c r="D175" s="1202"/>
      <c r="E175" s="594">
        <f>IFERROR(ROUND(('A2.Allocation &amp; Operating Plan'!E23-E187),0),0)</f>
        <v>0</v>
      </c>
      <c r="F175" s="14"/>
      <c r="G175" s="14"/>
      <c r="H175" s="14"/>
    </row>
    <row r="176" spans="2:8" hidden="1" outlineLevel="1">
      <c r="B176" s="1202" t="s">
        <v>218</v>
      </c>
      <c r="C176" s="1202"/>
      <c r="D176" s="1202"/>
      <c r="E176" s="594">
        <f>IFERROR((IF(C196&lt;C195,0,C196-C195)),0)</f>
        <v>0</v>
      </c>
      <c r="F176" s="14"/>
      <c r="G176" s="14"/>
      <c r="H176" s="14"/>
    </row>
    <row r="177" spans="2:8" hidden="1" outlineLevel="1">
      <c r="B177" s="1203" t="s">
        <v>79</v>
      </c>
      <c r="C177" s="1203"/>
      <c r="D177" s="1203"/>
      <c r="E177" s="597">
        <f>SUM(E174:E176)</f>
        <v>0</v>
      </c>
      <c r="F177" s="14"/>
      <c r="G177" s="14"/>
      <c r="H177" s="14"/>
    </row>
    <row r="178" spans="2:8" ht="16" hidden="1" outlineLevel="1" thickBot="1">
      <c r="B178"/>
      <c r="C178"/>
      <c r="D178"/>
      <c r="E178"/>
      <c r="F178" s="14"/>
      <c r="G178" s="14"/>
      <c r="H178" s="14"/>
    </row>
    <row r="179" spans="2:8" ht="21" hidden="1" outlineLevel="1">
      <c r="B179" s="598" t="s">
        <v>238</v>
      </c>
      <c r="C179" s="599"/>
      <c r="D179" s="599"/>
      <c r="E179" s="600"/>
      <c r="F179" s="14"/>
      <c r="G179" s="14"/>
      <c r="H179" s="14"/>
    </row>
    <row r="180" spans="2:8" ht="16" hidden="1" outlineLevel="1" thickBot="1">
      <c r="B180" s="78" t="s">
        <v>80</v>
      </c>
      <c r="C180"/>
      <c r="D180"/>
      <c r="E180" s="56"/>
      <c r="F180" s="14"/>
      <c r="G180" s="14"/>
      <c r="H180" s="14"/>
    </row>
    <row r="181" spans="2:8" ht="16" hidden="1" outlineLevel="1" thickBot="1">
      <c r="B181" s="601" t="s">
        <v>361</v>
      </c>
      <c r="C181" s="602"/>
      <c r="D181" s="602"/>
      <c r="E181" s="603">
        <f>IFERROR('A2.Allocation &amp; Operating Plan'!E24,0)</f>
        <v>0</v>
      </c>
      <c r="F181" s="14"/>
      <c r="G181" s="14"/>
      <c r="H181" s="14"/>
    </row>
    <row r="182" spans="2:8" ht="16" hidden="1" outlineLevel="1" thickTop="1">
      <c r="B182" s="604"/>
      <c r="C182" s="605"/>
      <c r="D182" s="606"/>
      <c r="E182" s="607"/>
      <c r="F182" s="14"/>
      <c r="G182" s="14"/>
      <c r="H182" s="14"/>
    </row>
    <row r="183" spans="2:8" ht="31" hidden="1" outlineLevel="1">
      <c r="B183" s="608" t="s">
        <v>435</v>
      </c>
      <c r="C183" s="609"/>
      <c r="D183" s="609"/>
      <c r="E183" s="610">
        <f>IFERROR(MIN(D185,D186),0)</f>
        <v>0</v>
      </c>
      <c r="F183" s="14"/>
      <c r="G183" s="14"/>
      <c r="H183" s="14"/>
    </row>
    <row r="184" spans="2:8" hidden="1" outlineLevel="1">
      <c r="B184" s="611" t="s">
        <v>81</v>
      </c>
      <c r="C184"/>
      <c r="D184" s="612"/>
      <c r="E184" s="613"/>
      <c r="F184" s="14"/>
      <c r="G184" s="14"/>
      <c r="H184" s="14"/>
    </row>
    <row r="185" spans="2:8" hidden="1" outlineLevel="1">
      <c r="B185" s="614" t="s">
        <v>465</v>
      </c>
      <c r="C185"/>
      <c r="D185" s="612">
        <f>D159</f>
        <v>0</v>
      </c>
      <c r="E185" s="615"/>
      <c r="F185" s="14"/>
      <c r="G185" s="14"/>
      <c r="H185" s="14"/>
    </row>
    <row r="186" spans="2:8" ht="16" hidden="1" outlineLevel="1" thickBot="1">
      <c r="B186" s="616" t="s">
        <v>362</v>
      </c>
      <c r="C186" s="617"/>
      <c r="D186" s="618">
        <f>D161</f>
        <v>0</v>
      </c>
      <c r="E186" s="619"/>
      <c r="F186" s="14"/>
      <c r="G186" s="14"/>
      <c r="H186" s="14"/>
    </row>
    <row r="187" spans="2:8" ht="16" hidden="1" outlineLevel="1" thickTop="1">
      <c r="B187" s="620" t="s">
        <v>436</v>
      </c>
      <c r="C187" s="621"/>
      <c r="D187" s="622"/>
      <c r="E187" s="623">
        <f>ROUND(IF((D188+D191+D192)&gt;'A2.Allocation &amp; Operating Plan'!E23,'A2.Allocation &amp; Operating Plan'!E23,D188+D191+D192),0)</f>
        <v>0</v>
      </c>
      <c r="F187" s="14"/>
      <c r="G187" s="14"/>
      <c r="H187" s="14"/>
    </row>
    <row r="188" spans="2:8" hidden="1" outlineLevel="1">
      <c r="B188" s="624" t="s">
        <v>363</v>
      </c>
      <c r="C188"/>
      <c r="D188" s="612">
        <f>IFERROR(0.0425*E183,0)</f>
        <v>0</v>
      </c>
      <c r="E188" s="625"/>
      <c r="F188" s="14"/>
      <c r="G188" s="14"/>
      <c r="H188" s="14"/>
    </row>
    <row r="189" spans="2:8" hidden="1" outlineLevel="1">
      <c r="B189" s="626" t="s">
        <v>82</v>
      </c>
      <c r="C189"/>
      <c r="D189" s="612"/>
      <c r="E189" s="625"/>
      <c r="F189" s="14"/>
      <c r="G189" s="14"/>
      <c r="H189" s="14"/>
    </row>
    <row r="190" spans="2:8" hidden="1" outlineLevel="1">
      <c r="B190" s="627" t="s">
        <v>364</v>
      </c>
      <c r="C190" s="612">
        <f>IFERROR(E183,0)</f>
        <v>0</v>
      </c>
      <c r="D190" s="612"/>
      <c r="E190" s="56"/>
      <c r="F190" s="884"/>
      <c r="G190" s="14"/>
      <c r="H190" s="14"/>
    </row>
    <row r="191" spans="2:8" hidden="1" outlineLevel="1">
      <c r="B191" s="627" t="s">
        <v>83</v>
      </c>
      <c r="C191" s="612">
        <f>IFERROR(SUM('A2.Allocation &amp; Operating Plan'!E13:E17),0)</f>
        <v>0</v>
      </c>
      <c r="D191" s="612">
        <f>IFERROR(0.035*MIN(C190,C191),0)</f>
        <v>0</v>
      </c>
      <c r="E191" s="56"/>
      <c r="F191" s="885"/>
      <c r="G191" s="14"/>
      <c r="H191" s="14"/>
    </row>
    <row r="192" spans="2:8" ht="16" hidden="1" outlineLevel="1" thickBot="1">
      <c r="B192" s="628" t="str">
        <f>"iii. Add - $"&amp;D192&amp; " per site"</f>
        <v>iii. Add - $6000 per site</v>
      </c>
      <c r="C192" s="629"/>
      <c r="D192" s="618">
        <f>IF(SUM('A2.Allocation &amp; Operating Plan'!C41:G41)=0, 0, IF('A2.Allocation &amp; Operating Plan'!I37=0, 6000, 6000/12*'A2.Allocation &amp; Operating Plan'!I37))</f>
        <v>6000</v>
      </c>
      <c r="E192" s="630"/>
      <c r="F192" s="14"/>
      <c r="G192" s="14"/>
      <c r="H192" s="14"/>
    </row>
    <row r="193" spans="2:8" ht="16" hidden="1" outlineLevel="1" thickTop="1">
      <c r="B193" s="620" t="s">
        <v>437</v>
      </c>
      <c r="C193" s="621"/>
      <c r="D193" s="631"/>
      <c r="E193" s="623">
        <f>-IFERROR(MAX(C195,C196),0)</f>
        <v>0</v>
      </c>
      <c r="F193" s="14"/>
      <c r="G193" s="14"/>
      <c r="H193" s="14"/>
    </row>
    <row r="194" spans="2:8" hidden="1" outlineLevel="1">
      <c r="B194" s="632" t="s">
        <v>84</v>
      </c>
      <c r="C194"/>
      <c r="D194" s="605"/>
      <c r="E194" s="633"/>
      <c r="F194" s="14"/>
      <c r="G194" s="14"/>
      <c r="H194" s="14"/>
    </row>
    <row r="195" spans="2:8" hidden="1" outlineLevel="1">
      <c r="B195" s="624" t="s">
        <v>365</v>
      </c>
      <c r="C195" s="612">
        <f>-IFERROR('A2.Allocation &amp; Operating Plan'!E21,0)</f>
        <v>0</v>
      </c>
      <c r="D195" s="605"/>
      <c r="E195" s="633"/>
    </row>
    <row r="196" spans="2:8" ht="16" hidden="1" outlineLevel="1" thickBot="1">
      <c r="B196" s="634" t="s">
        <v>366</v>
      </c>
      <c r="C196" s="618">
        <f>-D139</f>
        <v>0</v>
      </c>
      <c r="D196" s="635"/>
      <c r="E196" s="636"/>
    </row>
    <row r="197" spans="2:8" ht="16.5" hidden="1" outlineLevel="1" thickTop="1" thickBot="1">
      <c r="B197" s="637" t="s">
        <v>219</v>
      </c>
      <c r="C197" s="638"/>
      <c r="D197" s="639"/>
      <c r="E197" s="640">
        <f>IFERROR(E183+E187+E193,0)</f>
        <v>0</v>
      </c>
    </row>
    <row r="198" spans="2:8" ht="16" hidden="1" outlineLevel="1" thickBot="1">
      <c r="B198" s="641"/>
      <c r="C198" s="641"/>
      <c r="D198" s="641"/>
      <c r="E198" s="642"/>
    </row>
    <row r="199" spans="2:8" ht="19" hidden="1" outlineLevel="1" thickBot="1">
      <c r="B199" s="643" t="s">
        <v>220</v>
      </c>
      <c r="C199" s="644"/>
      <c r="D199" s="644"/>
      <c r="E199" s="645">
        <f>IF(E197&lt;0,0,E181-E197)</f>
        <v>0</v>
      </c>
    </row>
    <row r="200" spans="2:8" hidden="1" collapsed="1"/>
  </sheetData>
  <sheetProtection algorithmName="SHA-512" hashValue="5uDNGtolJV0rp6DktVX6hAc3o7Z8tO0XlHGqOXo21UEZr32zLUR/PGeTB9OnIXzSRnZH14IfyLu9Gsnz7kC9Tg==" saltValue="28US6O5XG0yhW68DhDkVGQ==" spinCount="100000" sheet="1" objects="1" scenarios="1"/>
  <protectedRanges>
    <protectedRange sqref="B78 B74 B69 B60 F79 F72:F75 D109:F109 F119:F121 E34:F34 E122:F122 F114:F117 F104:F108 B108:B109 F24:F29 F18:F21 B99:B101 E81:F81 F82:F102 E82:E101 D114:D116 D119:D122 D72:E74 D77:F78 D81:D101 D105:E108 D63:F69 D37:F60" name="allow"/>
    <protectedRange sqref="B28:B29" name="allow_1"/>
    <protectedRange sqref="D18:E19" name="allow_5"/>
    <protectedRange sqref="D28:E29 D24:D26 E24:E27 F22:F23 D20:E23" name="allow_5_1"/>
  </protectedRanges>
  <mergeCells count="22">
    <mergeCell ref="B174:D174"/>
    <mergeCell ref="B175:D175"/>
    <mergeCell ref="B176:D176"/>
    <mergeCell ref="B177:D177"/>
    <mergeCell ref="B136:C136"/>
    <mergeCell ref="B137:C137"/>
    <mergeCell ref="B138:C138"/>
    <mergeCell ref="B139:C139"/>
    <mergeCell ref="B141:C141"/>
    <mergeCell ref="B173:D173"/>
    <mergeCell ref="B134:C134"/>
    <mergeCell ref="B1:F1"/>
    <mergeCell ref="B2:F2"/>
    <mergeCell ref="B3:G3"/>
    <mergeCell ref="H9:I12"/>
    <mergeCell ref="E15:F15"/>
    <mergeCell ref="H18:H19"/>
    <mergeCell ref="H34:H35"/>
    <mergeCell ref="B129:E129"/>
    <mergeCell ref="B131:C131"/>
    <mergeCell ref="B132:C132"/>
    <mergeCell ref="B133:C133"/>
  </mergeCells>
  <conditionalFormatting sqref="E15">
    <cfRule type="cellIs" dxfId="126" priority="5" operator="notEqual">
      <formula>""</formula>
    </cfRule>
  </conditionalFormatting>
  <conditionalFormatting sqref="F7:F14">
    <cfRule type="cellIs" dxfId="125" priority="3" operator="notEqual">
      <formula>""</formula>
    </cfRule>
  </conditionalFormatting>
  <conditionalFormatting sqref="G18">
    <cfRule type="expression" priority="8">
      <formula>"if($D$17&gt;1 and $E$17 = 0,""red"",blue"")"</formula>
    </cfRule>
  </conditionalFormatting>
  <conditionalFormatting sqref="G38:G44 G46:G52 G54:G60">
    <cfRule type="expression" dxfId="124" priority="7">
      <formula>AND(ISNUMBER(D38), E38="")</formula>
    </cfRule>
  </conditionalFormatting>
  <conditionalFormatting sqref="G63:G69">
    <cfRule type="expression" dxfId="123" priority="6">
      <formula>AND(ISNUMBER(D63), E63="")</formula>
    </cfRule>
  </conditionalFormatting>
  <conditionalFormatting sqref="H13:H15">
    <cfRule type="cellIs" dxfId="122" priority="4" operator="notEqual">
      <formula>""</formula>
    </cfRule>
  </conditionalFormatting>
  <dataValidations count="6">
    <dataValidation type="list" allowBlank="1" showInputMessage="1" showErrorMessage="1" sqref="F14" xr:uid="{867665E4-1A7E-4C21-A628-AF4F1512D14B}">
      <formula1>$XEM$9:$XEM$10</formula1>
    </dataValidation>
    <dataValidation type="list" allowBlank="1" showInputMessage="1" showErrorMessage="1" sqref="F13" xr:uid="{85E1F8AF-8025-408C-940C-46E2DF2869BE}">
      <formula1>$XEK$9:$XEK$12</formula1>
    </dataValidation>
    <dataValidation type="list" allowBlank="1" showInputMessage="1" showErrorMessage="1" sqref="F12" xr:uid="{F9BCB44B-F8C4-430B-B0EC-181BC792C220}">
      <formula1>$XEI$9:$XEI$11</formula1>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1" xr:uid="{E2154E84-9647-42B3-85C4-3A32A4165845}">
      <formula1>0</formula1>
      <formula2>365</formula2>
    </dataValidation>
    <dataValidation type="decimal" allowBlank="1" showInputMessage="1" showErrorMessage="1" sqref="F54:F60 F38:F44 F46:F52" xr:uid="{1AEBC2E4-D818-485A-975C-9E179CC6B0E5}">
      <formula1>0</formula1>
      <formula2>1000000000000000000</formula2>
    </dataValidation>
    <dataValidation type="list" allowBlank="1" showInputMessage="1" showErrorMessage="1" sqref="E15:F15" xr:uid="{A34863E5-3578-442D-B7D3-8F549E3E139B}">
      <formula1>$XEN$9:$XEN$13</formula1>
    </dataValidation>
  </dataValidations>
  <pageMargins left="0.7" right="0.7" top="0.75" bottom="0.75" header="0.3" footer="0.3"/>
  <pageSetup scale="54" orientation="landscape" r:id="rId1"/>
  <legacy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A2723-89F4-4904-B6A7-0F2B8996879A}">
  <sheetPr>
    <tabColor rgb="FFFFC000"/>
  </sheetPr>
  <dimension ref="A1:V97"/>
  <sheetViews>
    <sheetView showGridLines="0" zoomScale="70" zoomScaleNormal="70" workbookViewId="0">
      <selection activeCell="F73" sqref="F73"/>
    </sheetView>
  </sheetViews>
  <sheetFormatPr defaultColWidth="9.1796875" defaultRowHeight="14.5"/>
  <cols>
    <col min="3" max="3" width="95.26953125" bestFit="1" customWidth="1"/>
    <col min="4" max="4" width="6.7265625" bestFit="1" customWidth="1"/>
    <col min="5" max="5" width="8.26953125" customWidth="1"/>
    <col min="6" max="6" width="31.1796875" customWidth="1"/>
    <col min="7" max="7" width="2.54296875" customWidth="1"/>
    <col min="8" max="8" width="6.54296875" customWidth="1"/>
    <col min="9" max="9" width="27.453125" customWidth="1"/>
    <col min="11" max="11" width="17.7265625" customWidth="1"/>
    <col min="12" max="12" width="11.1796875" customWidth="1"/>
  </cols>
  <sheetData>
    <row r="1" spans="1:12" ht="26">
      <c r="A1" s="1210" t="s">
        <v>734</v>
      </c>
      <c r="B1" s="1210"/>
      <c r="C1" s="1210"/>
      <c r="D1" s="1210"/>
      <c r="E1" s="1210"/>
      <c r="F1" s="1210"/>
      <c r="G1" s="1210"/>
      <c r="H1" s="1210"/>
      <c r="I1" s="1210"/>
      <c r="K1" s="109" t="s">
        <v>109</v>
      </c>
      <c r="L1" s="110" t="str">
        <f>IF('A1. Identification'!$D$13=0, " ",'A1. Identification'!$D$13)</f>
        <v xml:space="preserve"> </v>
      </c>
    </row>
    <row r="2" spans="1:12" ht="17.25" customHeight="1">
      <c r="K2" s="109" t="s">
        <v>301</v>
      </c>
      <c r="L2" s="889">
        <f>'A6a. Operations-Site 1'!L2</f>
        <v>0</v>
      </c>
    </row>
    <row r="3" spans="1:12" ht="22.5">
      <c r="A3" s="122" t="s">
        <v>487</v>
      </c>
      <c r="B3" s="123"/>
      <c r="C3" s="124"/>
      <c r="D3" s="124"/>
      <c r="E3" s="124"/>
      <c r="F3" s="125"/>
      <c r="G3" s="125"/>
      <c r="H3" s="125"/>
      <c r="I3" s="126"/>
    </row>
    <row r="4" spans="1:12" ht="20">
      <c r="A4" s="752"/>
      <c r="B4" s="127"/>
      <c r="C4" s="753"/>
      <c r="D4" s="753"/>
      <c r="E4" s="753"/>
      <c r="F4" s="128"/>
      <c r="G4" s="129"/>
      <c r="H4" s="129"/>
    </row>
    <row r="5" spans="1:12" ht="15.5">
      <c r="A5" s="127"/>
      <c r="B5" s="127"/>
      <c r="C5" s="754"/>
      <c r="D5" s="754"/>
      <c r="E5" s="754"/>
      <c r="F5" s="130"/>
      <c r="G5" s="131"/>
      <c r="H5" s="131"/>
      <c r="I5" s="1"/>
    </row>
    <row r="6" spans="1:12" ht="17.5">
      <c r="A6" s="1"/>
      <c r="B6" s="132" t="s">
        <v>488</v>
      </c>
      <c r="C6" s="133"/>
      <c r="D6" s="133"/>
      <c r="E6" s="133"/>
      <c r="F6" s="130"/>
      <c r="G6" s="131"/>
      <c r="H6" s="131"/>
      <c r="I6" s="1"/>
    </row>
    <row r="7" spans="1:12" ht="15.5">
      <c r="A7" s="1"/>
      <c r="B7" s="755" t="s">
        <v>489</v>
      </c>
      <c r="C7" s="133"/>
      <c r="D7" s="133"/>
      <c r="E7" s="133"/>
      <c r="F7" s="130"/>
      <c r="G7" s="131"/>
      <c r="H7" s="131"/>
      <c r="I7" s="1"/>
    </row>
    <row r="8" spans="1:12" ht="15.5">
      <c r="A8" s="134"/>
      <c r="B8" s="134"/>
      <c r="C8" s="135" t="s">
        <v>490</v>
      </c>
      <c r="D8" s="136"/>
      <c r="E8" s="137" t="s">
        <v>491</v>
      </c>
      <c r="F8" s="756">
        <f>'A6a. Operations-Site 1'!F7</f>
        <v>0</v>
      </c>
      <c r="G8" s="138"/>
      <c r="H8" s="138"/>
      <c r="I8" s="1"/>
    </row>
    <row r="9" spans="1:12" ht="15">
      <c r="A9" s="134"/>
      <c r="B9" s="134"/>
      <c r="C9" s="135" t="s">
        <v>492</v>
      </c>
      <c r="D9" s="134"/>
      <c r="E9" s="137" t="s">
        <v>493</v>
      </c>
      <c r="F9" s="881">
        <f>'A1. Identification'!D6</f>
        <v>0</v>
      </c>
      <c r="G9" s="138"/>
      <c r="H9" s="138"/>
      <c r="I9" s="134"/>
    </row>
    <row r="10" spans="1:12" ht="15">
      <c r="A10" s="134"/>
      <c r="B10" s="134"/>
      <c r="C10" s="135" t="s">
        <v>494</v>
      </c>
      <c r="D10" s="136"/>
      <c r="E10" s="137" t="s">
        <v>495</v>
      </c>
      <c r="F10" s="757">
        <f>'A6a. Operations-Site 1'!F8</f>
        <v>0</v>
      </c>
      <c r="G10" s="138"/>
      <c r="H10" s="138"/>
      <c r="I10" s="134"/>
    </row>
    <row r="11" spans="1:12" ht="15">
      <c r="A11" s="134"/>
      <c r="B11" s="134"/>
      <c r="C11" s="135" t="s">
        <v>496</v>
      </c>
      <c r="D11" s="136"/>
      <c r="E11" s="137" t="s">
        <v>497</v>
      </c>
      <c r="F11" s="758">
        <f>'A6a. Operations-Site 1'!F9</f>
        <v>0</v>
      </c>
      <c r="G11" s="139"/>
      <c r="H11" s="139"/>
      <c r="I11" s="279"/>
    </row>
    <row r="12" spans="1:12" ht="15.5">
      <c r="A12" s="134"/>
      <c r="B12" s="134"/>
      <c r="C12" s="135" t="s">
        <v>498</v>
      </c>
      <c r="D12" s="136"/>
      <c r="E12" s="136"/>
      <c r="F12" s="759" t="s">
        <v>726</v>
      </c>
      <c r="G12" s="141"/>
      <c r="H12" s="270"/>
      <c r="I12" s="1"/>
    </row>
    <row r="13" spans="1:12" ht="15.5">
      <c r="A13" s="134"/>
      <c r="B13" s="134"/>
      <c r="C13" s="760" t="s">
        <v>499</v>
      </c>
      <c r="D13" s="136"/>
      <c r="E13" s="137" t="s">
        <v>500</v>
      </c>
      <c r="F13" s="269">
        <v>232</v>
      </c>
      <c r="G13" s="142"/>
      <c r="H13" s="142"/>
      <c r="I13" s="1"/>
    </row>
    <row r="14" spans="1:12" ht="15.5">
      <c r="A14" s="134"/>
      <c r="B14" s="134"/>
      <c r="C14" s="135" t="s">
        <v>501</v>
      </c>
      <c r="D14" s="136"/>
      <c r="E14" s="137" t="s">
        <v>502</v>
      </c>
      <c r="F14" s="143">
        <v>2025</v>
      </c>
      <c r="G14" s="144"/>
      <c r="H14" s="144"/>
      <c r="I14" s="1"/>
    </row>
    <row r="15" spans="1:12" ht="15">
      <c r="A15" s="134"/>
      <c r="B15" s="761"/>
      <c r="C15" s="136"/>
      <c r="D15" s="136"/>
      <c r="E15" s="136"/>
      <c r="F15" s="761"/>
      <c r="G15" s="761"/>
      <c r="H15" s="761"/>
      <c r="I15" s="134"/>
    </row>
    <row r="16" spans="1:12" ht="17.5">
      <c r="A16" s="134"/>
      <c r="B16" s="132" t="s">
        <v>503</v>
      </c>
      <c r="C16" s="136"/>
      <c r="D16" s="136"/>
      <c r="E16" s="136"/>
      <c r="F16" s="761"/>
      <c r="G16" s="761"/>
      <c r="H16" s="761"/>
      <c r="I16" s="134"/>
    </row>
    <row r="17" spans="1:9" ht="15">
      <c r="A17" s="134"/>
      <c r="B17" s="755" t="s">
        <v>504</v>
      </c>
      <c r="C17" s="136"/>
      <c r="D17" s="136"/>
      <c r="E17" s="136"/>
      <c r="F17" s="761"/>
      <c r="G17" s="761"/>
      <c r="H17" s="761"/>
      <c r="I17" s="761"/>
    </row>
    <row r="18" spans="1:9" ht="15.5">
      <c r="A18" s="1"/>
      <c r="B18" s="1"/>
      <c r="C18" s="1" t="s">
        <v>505</v>
      </c>
      <c r="D18" s="133"/>
      <c r="E18" s="137" t="s">
        <v>506</v>
      </c>
      <c r="F18" s="762">
        <f>'A6a. Operations-Site 1'!F11</f>
        <v>0</v>
      </c>
      <c r="G18" s="145"/>
      <c r="H18" s="145"/>
      <c r="I18" s="279"/>
    </row>
    <row r="19" spans="1:9" ht="15.5">
      <c r="A19" s="1"/>
      <c r="B19" s="1"/>
      <c r="C19" s="133"/>
      <c r="D19" s="133"/>
      <c r="E19" s="133"/>
      <c r="F19" s="130"/>
      <c r="G19" s="131"/>
      <c r="H19" s="131"/>
      <c r="I19" s="1"/>
    </row>
    <row r="20" spans="1:9" ht="60" customHeight="1">
      <c r="A20" s="1"/>
      <c r="B20" s="763"/>
      <c r="C20" s="763"/>
      <c r="F20" s="764" t="s">
        <v>507</v>
      </c>
      <c r="H20" s="764"/>
      <c r="I20" s="764" t="s">
        <v>508</v>
      </c>
    </row>
    <row r="21" spans="1:9" ht="15.5">
      <c r="A21" s="1"/>
      <c r="C21" s="765" t="s">
        <v>509</v>
      </c>
      <c r="E21" s="766" t="s">
        <v>510</v>
      </c>
      <c r="F21" s="767">
        <f>('A2.Allocation &amp; Operating Plan'!C39+'A2.Allocation &amp; Operating Plan'!C40)*'A2.Allocation &amp; Operating Plan'!C41</f>
        <v>2610</v>
      </c>
      <c r="H21" s="766" t="s">
        <v>511</v>
      </c>
      <c r="I21" s="767">
        <f>+'A2.Allocation &amp; Operating Plan'!C41*'A2.Allocation &amp; Operating Plan'!C43</f>
        <v>2610</v>
      </c>
    </row>
    <row r="22" spans="1:9" ht="15.5">
      <c r="A22" s="1"/>
      <c r="C22" s="765" t="s">
        <v>512</v>
      </c>
      <c r="E22" s="766" t="s">
        <v>513</v>
      </c>
      <c r="F22" s="767">
        <f>('A2.Allocation &amp; Operating Plan'!D39+'A2.Allocation &amp; Operating Plan'!D40)*'A2.Allocation &amp; Operating Plan'!D41</f>
        <v>0</v>
      </c>
      <c r="H22" s="766" t="s">
        <v>514</v>
      </c>
      <c r="I22" s="767">
        <f>+'A2.Allocation &amp; Operating Plan'!D41*'A2.Allocation &amp; Operating Plan'!D43</f>
        <v>0</v>
      </c>
    </row>
    <row r="23" spans="1:9" ht="30">
      <c r="A23" s="1"/>
      <c r="C23" s="765" t="s">
        <v>4</v>
      </c>
      <c r="E23" s="766" t="s">
        <v>515</v>
      </c>
      <c r="F23" s="767">
        <f>('A2.Allocation &amp; Operating Plan'!E39+'A2.Allocation &amp; Operating Plan'!E40)*'A2.Allocation &amp; Operating Plan'!E41</f>
        <v>0</v>
      </c>
      <c r="H23" s="766" t="s">
        <v>516</v>
      </c>
      <c r="I23" s="767">
        <f>'A2.Allocation &amp; Operating Plan'!E41*'A2.Allocation &amp; Operating Plan'!E43</f>
        <v>0</v>
      </c>
    </row>
    <row r="24" spans="1:9" ht="30">
      <c r="A24" s="1"/>
      <c r="C24" s="765" t="s">
        <v>517</v>
      </c>
      <c r="E24" s="766" t="s">
        <v>518</v>
      </c>
      <c r="F24" s="767">
        <f>('A2.Allocation &amp; Operating Plan'!F39+'A2.Allocation &amp; Operating Plan'!F40)*'A2.Allocation &amp; Operating Plan'!F41</f>
        <v>0</v>
      </c>
      <c r="H24" s="766" t="s">
        <v>519</v>
      </c>
      <c r="I24" s="767">
        <f>'A2.Allocation &amp; Operating Plan'!F41*'A2.Allocation &amp; Operating Plan'!F43</f>
        <v>0</v>
      </c>
    </row>
    <row r="25" spans="1:9" ht="30">
      <c r="A25" s="127"/>
      <c r="C25" s="765" t="s">
        <v>520</v>
      </c>
      <c r="E25" s="766" t="s">
        <v>521</v>
      </c>
      <c r="F25" s="767">
        <f>('A2.Allocation &amp; Operating Plan'!G39+'A2.Allocation &amp; Operating Plan'!G40)*'A2.Allocation &amp; Operating Plan'!G41</f>
        <v>0</v>
      </c>
      <c r="H25" s="766" t="s">
        <v>522</v>
      </c>
      <c r="I25" s="767">
        <f>'A2.Allocation &amp; Operating Plan'!G41*'A2.Allocation &amp; Operating Plan'!G43</f>
        <v>0</v>
      </c>
    </row>
    <row r="26" spans="1:9" ht="30">
      <c r="A26" s="127"/>
      <c r="C26" s="765" t="s">
        <v>523</v>
      </c>
      <c r="E26" s="766" t="s">
        <v>524</v>
      </c>
      <c r="F26" s="767">
        <f>(('A2.Allocation &amp; Operating Plan'!H39+'A2.Allocation &amp; Operating Plan'!H40)*'A2.Allocation &amp; Operating Plan'!H41)+(('A2.Allocation &amp; Operating Plan'!I39+'A2.Allocation &amp; Operating Plan'!I40)*'A2.Allocation &amp; Operating Plan'!I41)</f>
        <v>3915</v>
      </c>
      <c r="H26" s="766" t="s">
        <v>525</v>
      </c>
      <c r="I26" s="767">
        <f>('A2.Allocation &amp; Operating Plan'!H41*'A2.Allocation &amp; Operating Plan'!H43)+('A2.Allocation &amp; Operating Plan'!I41*'A2.Allocation &amp; Operating Plan'!I43)</f>
        <v>3915</v>
      </c>
    </row>
    <row r="27" spans="1:9" ht="15.5">
      <c r="A27" s="127"/>
      <c r="C27" s="768" t="s">
        <v>87</v>
      </c>
      <c r="F27" s="147">
        <f>+SUM(F21:F26)</f>
        <v>6525</v>
      </c>
      <c r="H27" s="146"/>
      <c r="I27" s="147">
        <f>+SUM(I21:I26)</f>
        <v>6525</v>
      </c>
    </row>
    <row r="29" spans="1:9" ht="17.5">
      <c r="B29" s="769" t="s">
        <v>526</v>
      </c>
      <c r="C29" s="148"/>
      <c r="D29" s="148"/>
      <c r="E29" s="148"/>
      <c r="F29" s="149"/>
      <c r="G29" s="149"/>
      <c r="H29" s="149"/>
      <c r="I29" s="1"/>
    </row>
    <row r="30" spans="1:9" ht="17.5">
      <c r="B30" s="770" t="s">
        <v>527</v>
      </c>
      <c r="C30" s="148"/>
      <c r="D30" s="148"/>
      <c r="E30" s="148"/>
      <c r="F30" s="149"/>
      <c r="G30" s="150"/>
      <c r="H30" s="150"/>
      <c r="I30" s="1"/>
    </row>
    <row r="31" spans="1:9" ht="15.5">
      <c r="B31" s="755" t="s">
        <v>528</v>
      </c>
      <c r="C31" s="1"/>
      <c r="D31" s="1"/>
      <c r="E31" s="1"/>
      <c r="F31" s="1"/>
      <c r="G31" s="1"/>
      <c r="H31" s="1"/>
      <c r="I31" s="1"/>
    </row>
    <row r="32" spans="1:9" ht="15.5">
      <c r="B32" s="151"/>
      <c r="C32" s="1" t="s">
        <v>529</v>
      </c>
      <c r="D32" s="1"/>
      <c r="E32" s="152" t="s">
        <v>530</v>
      </c>
      <c r="F32" s="771">
        <f>'A6a. Operations-Site 1'!E20+'A3. Peel Region Grants'!G37</f>
        <v>0</v>
      </c>
      <c r="G32" s="153"/>
      <c r="H32" s="153"/>
      <c r="I32" s="965"/>
    </row>
    <row r="33" spans="2:22" ht="15.5">
      <c r="B33" s="772"/>
      <c r="C33" s="1" t="s">
        <v>531</v>
      </c>
      <c r="D33" s="1"/>
      <c r="E33" s="152" t="s">
        <v>532</v>
      </c>
      <c r="F33" s="771">
        <f>'A6a. Operations-Site 1'!E21+'A6a. Operations-Site 1'!E24</f>
        <v>0</v>
      </c>
      <c r="G33" s="153"/>
      <c r="H33" s="153"/>
      <c r="I33" s="140"/>
    </row>
    <row r="34" spans="2:22" ht="15.5">
      <c r="B34" s="1"/>
      <c r="C34" s="133"/>
      <c r="D34" s="133"/>
      <c r="E34" s="133"/>
      <c r="F34" s="154"/>
      <c r="G34" s="155"/>
      <c r="H34" s="155"/>
      <c r="I34" s="156"/>
    </row>
    <row r="35" spans="2:22" ht="17.5">
      <c r="B35" s="769" t="s">
        <v>533</v>
      </c>
      <c r="C35" s="133"/>
      <c r="D35" s="133"/>
      <c r="E35" s="133"/>
      <c r="F35" s="149"/>
      <c r="G35" s="150"/>
      <c r="H35" s="150"/>
      <c r="I35" s="773"/>
    </row>
    <row r="36" spans="2:22" ht="15.5">
      <c r="B36" s="755" t="s">
        <v>534</v>
      </c>
      <c r="C36" s="133"/>
      <c r="D36" s="133"/>
      <c r="E36" s="133"/>
      <c r="F36" s="149"/>
      <c r="G36" s="150"/>
      <c r="H36" s="150"/>
      <c r="I36" s="773"/>
    </row>
    <row r="37" spans="2:22" ht="15.5">
      <c r="B37" s="755" t="s">
        <v>535</v>
      </c>
      <c r="C37" s="133"/>
      <c r="D37" s="133"/>
      <c r="E37" s="133"/>
      <c r="F37" s="149"/>
      <c r="G37" s="150"/>
      <c r="H37" s="150"/>
      <c r="I37" s="773"/>
    </row>
    <row r="38" spans="2:22" ht="15.5">
      <c r="B38" s="157"/>
      <c r="C38" s="133"/>
      <c r="D38" s="133"/>
      <c r="E38" s="133"/>
      <c r="F38" s="158" t="s">
        <v>536</v>
      </c>
      <c r="G38" s="159"/>
      <c r="H38" s="159"/>
      <c r="I38" s="746" t="s">
        <v>880</v>
      </c>
      <c r="J38" s="774"/>
      <c r="K38" s="774"/>
      <c r="L38" s="774"/>
      <c r="M38" s="774"/>
      <c r="N38" s="774"/>
      <c r="O38" s="774"/>
      <c r="P38" s="774"/>
      <c r="Q38" s="774"/>
      <c r="R38" s="774"/>
      <c r="S38" s="774"/>
      <c r="T38" s="774"/>
      <c r="U38" s="774"/>
      <c r="V38" s="774"/>
    </row>
    <row r="39" spans="2:22" ht="15.5">
      <c r="B39" s="160"/>
      <c r="C39" s="775" t="s">
        <v>537</v>
      </c>
      <c r="D39" s="775"/>
      <c r="E39" s="775"/>
      <c r="F39" s="158"/>
      <c r="G39" s="159"/>
      <c r="H39" s="159"/>
      <c r="I39" s="746"/>
      <c r="J39" s="774"/>
      <c r="K39" s="774"/>
      <c r="L39" s="774"/>
      <c r="M39" s="774"/>
      <c r="N39" s="774"/>
      <c r="O39" s="774"/>
      <c r="P39" s="774"/>
      <c r="Q39" s="774"/>
      <c r="R39" s="774"/>
      <c r="S39" s="774"/>
      <c r="T39" s="774"/>
      <c r="U39" s="774"/>
      <c r="V39" s="774"/>
    </row>
    <row r="40" spans="2:22" ht="15.5">
      <c r="B40" s="160"/>
      <c r="C40" s="776" t="s">
        <v>538</v>
      </c>
      <c r="D40" s="776"/>
      <c r="E40" s="777" t="s">
        <v>539</v>
      </c>
      <c r="F40" s="771">
        <f>'A6a. Operations-Site 1'!E38+'A6a. Operations-Site 1'!E39-'A3. Peel Region Grants'!G39</f>
        <v>0</v>
      </c>
      <c r="G40" s="153"/>
      <c r="H40" s="153"/>
      <c r="I40" s="747" t="str">
        <f>+IFERROR(F40/$F$73,"")</f>
        <v/>
      </c>
      <c r="J40" s="774"/>
      <c r="K40" s="774"/>
      <c r="L40" s="774"/>
      <c r="M40" s="774"/>
      <c r="N40" s="774"/>
      <c r="O40" s="774"/>
      <c r="P40" s="774"/>
      <c r="Q40" s="774"/>
      <c r="R40" s="774"/>
      <c r="S40" s="774"/>
      <c r="T40" s="774"/>
      <c r="U40" s="774"/>
      <c r="V40" s="774"/>
    </row>
    <row r="41" spans="2:22" ht="15.5">
      <c r="B41" s="160"/>
      <c r="C41" s="776" t="s">
        <v>540</v>
      </c>
      <c r="D41" s="776"/>
      <c r="E41" s="777" t="s">
        <v>541</v>
      </c>
      <c r="F41" s="771">
        <f>'A6a. Operations-Site 1'!E40+'A6a. Operations-Site 1'!E41</f>
        <v>0</v>
      </c>
      <c r="G41" s="153"/>
      <c r="H41" s="153"/>
      <c r="I41" s="747" t="str">
        <f t="shared" ref="I41:I43" si="0">+IFERROR(F41/$F$73,"")</f>
        <v/>
      </c>
      <c r="J41" s="774"/>
      <c r="K41" s="774"/>
      <c r="L41" s="774"/>
      <c r="M41" s="774"/>
      <c r="N41" s="774"/>
      <c r="O41" s="774"/>
      <c r="P41" s="774"/>
      <c r="Q41" s="774"/>
      <c r="R41" s="774"/>
      <c r="S41" s="774"/>
      <c r="T41" s="774"/>
      <c r="U41" s="774"/>
      <c r="V41" s="774"/>
    </row>
    <row r="42" spans="2:22" ht="15.5">
      <c r="B42" s="160"/>
      <c r="C42" s="776" t="s">
        <v>542</v>
      </c>
      <c r="D42" s="776"/>
      <c r="E42" s="777" t="s">
        <v>543</v>
      </c>
      <c r="F42" s="771">
        <f>'A6a. Operations-Site 1'!E42</f>
        <v>0</v>
      </c>
      <c r="G42" s="153"/>
      <c r="H42" s="153"/>
      <c r="I42" s="747" t="str">
        <f t="shared" si="0"/>
        <v/>
      </c>
      <c r="J42" s="774"/>
      <c r="K42" s="774"/>
      <c r="L42" s="774"/>
      <c r="M42" s="774"/>
      <c r="N42" s="774"/>
      <c r="O42" s="774"/>
      <c r="P42" s="774"/>
      <c r="Q42" s="774"/>
      <c r="R42" s="774"/>
      <c r="S42" s="774"/>
      <c r="T42" s="774"/>
      <c r="U42" s="774"/>
      <c r="V42" s="774"/>
    </row>
    <row r="43" spans="2:22" ht="15.5">
      <c r="B43" s="160"/>
      <c r="C43" s="776" t="s">
        <v>544</v>
      </c>
      <c r="D43" s="776"/>
      <c r="E43" s="777" t="s">
        <v>545</v>
      </c>
      <c r="F43" s="771">
        <f>'A6a. Operations-Site 1'!E43</f>
        <v>0</v>
      </c>
      <c r="G43" s="161"/>
      <c r="H43" s="161"/>
      <c r="I43" s="747" t="str">
        <f t="shared" si="0"/>
        <v/>
      </c>
      <c r="J43" s="774"/>
      <c r="K43" s="774"/>
      <c r="L43" s="774"/>
      <c r="M43" s="774"/>
      <c r="N43" s="774"/>
      <c r="O43" s="774"/>
      <c r="P43" s="774"/>
      <c r="Q43" s="774"/>
      <c r="R43" s="774"/>
      <c r="S43" s="774"/>
      <c r="T43" s="774"/>
      <c r="U43" s="774"/>
      <c r="V43" s="774"/>
    </row>
    <row r="44" spans="2:22" ht="15.5">
      <c r="B44" s="160"/>
      <c r="C44" s="776" t="s">
        <v>546</v>
      </c>
      <c r="D44" s="776"/>
      <c r="E44" s="777" t="s">
        <v>547</v>
      </c>
      <c r="F44" s="778">
        <f>'A6a. Operations-Site 1'!E44-'A3. Peel Region Grants'!F133</f>
        <v>0</v>
      </c>
      <c r="G44" s="153"/>
      <c r="H44" s="433"/>
      <c r="I44" s="747"/>
      <c r="J44" s="774"/>
      <c r="K44" s="774"/>
      <c r="L44" s="700"/>
      <c r="M44" s="700"/>
      <c r="N44" s="700"/>
      <c r="O44" s="700"/>
      <c r="P44" s="774"/>
      <c r="Q44" s="774"/>
      <c r="R44" s="774"/>
      <c r="S44" s="774"/>
      <c r="T44" s="774"/>
      <c r="U44" s="774"/>
      <c r="V44" s="774"/>
    </row>
    <row r="45" spans="2:22" ht="15.5">
      <c r="B45" s="160"/>
      <c r="C45" s="776" t="s">
        <v>548</v>
      </c>
      <c r="D45" s="776"/>
      <c r="E45" s="777" t="s">
        <v>549</v>
      </c>
      <c r="F45" s="771">
        <f>'A4. KPIs'!E61</f>
        <v>0</v>
      </c>
      <c r="G45" s="162"/>
      <c r="H45" s="162"/>
      <c r="I45" s="779"/>
      <c r="J45" s="774"/>
      <c r="K45" s="774"/>
      <c r="L45" s="774"/>
      <c r="M45" s="774"/>
      <c r="N45" s="774"/>
      <c r="O45" s="774"/>
      <c r="P45" s="774"/>
      <c r="Q45" s="774"/>
      <c r="R45" s="774"/>
      <c r="S45" s="774"/>
      <c r="T45" s="774"/>
      <c r="U45" s="774"/>
      <c r="V45" s="774"/>
    </row>
    <row r="46" spans="2:22" ht="15.5">
      <c r="B46" s="157"/>
      <c r="C46" s="776"/>
      <c r="D46" s="776"/>
      <c r="E46" s="776"/>
      <c r="F46" s="780"/>
      <c r="G46" s="780"/>
      <c r="H46" s="780"/>
      <c r="I46" s="748"/>
      <c r="J46" s="774"/>
      <c r="K46" s="774"/>
      <c r="L46" s="774"/>
      <c r="M46" s="774"/>
      <c r="N46" s="774"/>
      <c r="O46" s="774"/>
      <c r="P46" s="774"/>
      <c r="Q46" s="774"/>
      <c r="R46" s="774"/>
      <c r="S46" s="774"/>
      <c r="T46" s="774"/>
      <c r="U46" s="774"/>
      <c r="V46" s="774"/>
    </row>
    <row r="47" spans="2:22" ht="15.5">
      <c r="B47" s="781"/>
      <c r="C47" s="775" t="s">
        <v>550</v>
      </c>
      <c r="D47" s="775"/>
      <c r="E47" s="775"/>
      <c r="F47" s="780"/>
      <c r="G47" s="780"/>
      <c r="H47" s="780"/>
      <c r="I47" s="748"/>
      <c r="J47" s="774"/>
      <c r="K47" s="774"/>
      <c r="L47" s="774"/>
      <c r="M47" s="774"/>
      <c r="N47" s="774"/>
      <c r="O47" s="774"/>
      <c r="P47" s="774"/>
      <c r="Q47" s="774"/>
      <c r="R47" s="774"/>
      <c r="S47" s="774"/>
      <c r="T47" s="774"/>
      <c r="U47" s="774"/>
      <c r="V47" s="774"/>
    </row>
    <row r="48" spans="2:22" ht="15.5">
      <c r="B48" s="160"/>
      <c r="C48" s="776" t="s">
        <v>551</v>
      </c>
      <c r="D48" s="776"/>
      <c r="E48" s="777" t="s">
        <v>552</v>
      </c>
      <c r="F48" s="771">
        <f>'A6a. Operations-Site 1'!E46+'A6a. Operations-Site 1'!E47</f>
        <v>0</v>
      </c>
      <c r="G48" s="161"/>
      <c r="H48" s="161"/>
      <c r="I48" s="747" t="str">
        <f>+IFERROR(F48/$F$73,"")</f>
        <v/>
      </c>
      <c r="J48" s="774"/>
      <c r="K48" s="774"/>
      <c r="L48" s="774"/>
      <c r="M48" s="774"/>
      <c r="N48" s="774"/>
      <c r="O48" s="774"/>
      <c r="P48" s="774"/>
      <c r="Q48" s="774"/>
      <c r="R48" s="774"/>
      <c r="S48" s="774"/>
      <c r="T48" s="774"/>
      <c r="U48" s="774"/>
      <c r="V48" s="774"/>
    </row>
    <row r="49" spans="2:22" ht="15.5">
      <c r="B49" s="160"/>
      <c r="C49" s="776" t="s">
        <v>553</v>
      </c>
      <c r="D49" s="776"/>
      <c r="E49" s="163" t="s">
        <v>554</v>
      </c>
      <c r="F49" s="771">
        <f>'A6a. Operations-Site 1'!E48+'A6a. Operations-Site 1'!E49</f>
        <v>0</v>
      </c>
      <c r="G49" s="161"/>
      <c r="H49" s="161"/>
      <c r="I49" s="747" t="str">
        <f t="shared" ref="I49:I52" si="1">+IFERROR(F49/$F$73,"")</f>
        <v/>
      </c>
      <c r="J49" s="774"/>
      <c r="K49" s="774"/>
      <c r="L49" s="774"/>
      <c r="M49" s="774"/>
      <c r="N49" s="774"/>
      <c r="O49" s="774"/>
      <c r="P49" s="774"/>
      <c r="Q49" s="774"/>
      <c r="R49" s="774"/>
      <c r="S49" s="774"/>
      <c r="T49" s="774"/>
      <c r="U49" s="774"/>
      <c r="V49" s="774"/>
    </row>
    <row r="50" spans="2:22" ht="15.5">
      <c r="B50" s="160"/>
      <c r="C50" s="776" t="s">
        <v>555</v>
      </c>
      <c r="D50" s="776"/>
      <c r="E50" s="163" t="s">
        <v>556</v>
      </c>
      <c r="F50" s="771">
        <f>'A6a. Operations-Site 1'!E50</f>
        <v>0</v>
      </c>
      <c r="G50" s="161"/>
      <c r="H50" s="161"/>
      <c r="I50" s="747" t="str">
        <f t="shared" si="1"/>
        <v/>
      </c>
      <c r="J50" s="774"/>
      <c r="K50" s="774"/>
      <c r="L50" s="774"/>
      <c r="M50" s="774"/>
      <c r="N50" s="774"/>
      <c r="O50" s="774"/>
      <c r="P50" s="774"/>
      <c r="Q50" s="774"/>
      <c r="R50" s="774"/>
      <c r="S50" s="774"/>
      <c r="T50" s="774"/>
      <c r="U50" s="774"/>
      <c r="V50" s="774"/>
    </row>
    <row r="51" spans="2:22" ht="15.5">
      <c r="B51" s="160"/>
      <c r="C51" s="776" t="s">
        <v>557</v>
      </c>
      <c r="D51" s="776"/>
      <c r="E51" s="163" t="s">
        <v>558</v>
      </c>
      <c r="F51" s="771">
        <f>'A6a. Operations-Site 1'!E51</f>
        <v>0</v>
      </c>
      <c r="G51" s="161"/>
      <c r="H51" s="161"/>
      <c r="I51" s="747" t="str">
        <f t="shared" si="1"/>
        <v/>
      </c>
      <c r="J51" s="774"/>
      <c r="K51" s="774"/>
      <c r="L51" s="774"/>
      <c r="M51" s="774"/>
      <c r="N51" s="774"/>
      <c r="O51" s="774"/>
      <c r="P51" s="774"/>
      <c r="Q51" s="774"/>
      <c r="R51" s="774"/>
      <c r="S51" s="774"/>
      <c r="T51" s="774"/>
      <c r="U51" s="774"/>
      <c r="V51" s="774"/>
    </row>
    <row r="52" spans="2:22" ht="15.5">
      <c r="B52" s="160"/>
      <c r="C52" s="776" t="s">
        <v>559</v>
      </c>
      <c r="D52" s="776"/>
      <c r="E52" s="163" t="s">
        <v>560</v>
      </c>
      <c r="F52" s="771">
        <f>'A6a. Operations-Site 1'!E52</f>
        <v>0</v>
      </c>
      <c r="G52" s="161"/>
      <c r="H52" s="161"/>
      <c r="I52" s="747" t="str">
        <f t="shared" si="1"/>
        <v/>
      </c>
      <c r="J52" s="774"/>
      <c r="K52" s="774"/>
      <c r="L52" s="774"/>
      <c r="M52" s="774"/>
      <c r="N52" s="774"/>
      <c r="O52" s="774"/>
      <c r="P52" s="774"/>
      <c r="Q52" s="774"/>
      <c r="R52" s="774"/>
      <c r="S52" s="774"/>
      <c r="T52" s="774"/>
      <c r="U52" s="774"/>
      <c r="V52" s="774"/>
    </row>
    <row r="53" spans="2:22" ht="15.5">
      <c r="B53" s="160"/>
      <c r="C53" s="776" t="s">
        <v>561</v>
      </c>
      <c r="D53" s="776"/>
      <c r="E53" s="163" t="s">
        <v>562</v>
      </c>
      <c r="F53" s="771">
        <f>'A4. KPIs'!E62</f>
        <v>0</v>
      </c>
      <c r="G53" s="164"/>
      <c r="H53" s="164"/>
      <c r="I53" s="749"/>
      <c r="J53" s="774"/>
      <c r="K53" s="774"/>
      <c r="L53" s="774"/>
      <c r="M53" s="774"/>
      <c r="N53" s="774"/>
      <c r="O53" s="774"/>
      <c r="P53" s="774"/>
      <c r="Q53" s="774"/>
      <c r="R53" s="774"/>
      <c r="S53" s="774"/>
      <c r="T53" s="774"/>
      <c r="U53" s="774"/>
      <c r="V53" s="774"/>
    </row>
    <row r="54" spans="2:22" ht="15.5">
      <c r="B54" s="157"/>
      <c r="C54" s="776"/>
      <c r="D54" s="776"/>
      <c r="E54" s="133"/>
      <c r="F54" s="780"/>
      <c r="G54" s="780"/>
      <c r="H54" s="780"/>
      <c r="I54" s="748"/>
      <c r="J54" s="774"/>
      <c r="K54" s="774"/>
      <c r="L54" s="774"/>
      <c r="M54" s="774"/>
      <c r="N54" s="774"/>
      <c r="O54" s="774"/>
      <c r="P54" s="774"/>
      <c r="Q54" s="774"/>
      <c r="R54" s="774"/>
      <c r="S54" s="774"/>
      <c r="T54" s="774"/>
      <c r="U54" s="774"/>
      <c r="V54" s="774"/>
    </row>
    <row r="55" spans="2:22" ht="15.5">
      <c r="B55" s="781"/>
      <c r="C55" s="775" t="s">
        <v>231</v>
      </c>
      <c r="D55" s="775"/>
      <c r="E55" s="133"/>
      <c r="F55" s="780"/>
      <c r="G55" s="780"/>
      <c r="H55" s="780"/>
      <c r="I55" s="748"/>
      <c r="J55" s="774"/>
      <c r="K55" s="774"/>
      <c r="L55" s="774"/>
      <c r="M55" s="774"/>
      <c r="N55" s="774"/>
      <c r="O55" s="774"/>
      <c r="P55" s="774"/>
      <c r="Q55" s="774"/>
      <c r="R55" s="774"/>
      <c r="S55" s="774"/>
      <c r="T55" s="774"/>
      <c r="U55" s="774"/>
      <c r="V55" s="774"/>
    </row>
    <row r="56" spans="2:22" ht="15.5">
      <c r="B56" s="160"/>
      <c r="C56" s="776" t="s">
        <v>563</v>
      </c>
      <c r="D56" s="776"/>
      <c r="E56" s="163" t="s">
        <v>564</v>
      </c>
      <c r="F56" s="771">
        <f>'A6a. Operations-Site 1'!E67</f>
        <v>0</v>
      </c>
      <c r="G56" s="153"/>
      <c r="H56" s="153"/>
      <c r="I56" s="747" t="str">
        <f>+IFERROR(F56/$F$73,"")</f>
        <v/>
      </c>
      <c r="J56" s="774"/>
      <c r="K56" s="774"/>
      <c r="L56" s="774"/>
      <c r="M56" s="774"/>
      <c r="N56" s="774"/>
      <c r="O56" s="774"/>
      <c r="P56" s="774"/>
      <c r="Q56" s="774"/>
      <c r="R56" s="774"/>
      <c r="S56" s="774"/>
      <c r="T56" s="774"/>
      <c r="U56" s="774"/>
      <c r="V56" s="774"/>
    </row>
    <row r="57" spans="2:22" ht="15.5">
      <c r="B57" s="160"/>
      <c r="C57" s="776" t="s">
        <v>565</v>
      </c>
      <c r="D57" s="776"/>
      <c r="E57" s="163" t="s">
        <v>566</v>
      </c>
      <c r="F57" s="771">
        <f>'A6a. Operations-Site 1'!E63</f>
        <v>0</v>
      </c>
      <c r="G57" s="153"/>
      <c r="H57" s="153"/>
      <c r="I57" s="747" t="str">
        <f t="shared" ref="I57:I60" si="2">+IFERROR(F57/$F$73,"")</f>
        <v/>
      </c>
      <c r="J57" s="774"/>
      <c r="K57" s="774"/>
      <c r="L57" s="774"/>
      <c r="M57" s="774"/>
      <c r="N57" s="774"/>
      <c r="O57" s="774"/>
      <c r="P57" s="774"/>
      <c r="Q57" s="774"/>
      <c r="R57" s="774"/>
      <c r="S57" s="774"/>
      <c r="T57" s="774"/>
      <c r="U57" s="774"/>
      <c r="V57" s="774"/>
    </row>
    <row r="58" spans="2:22" ht="34.5" customHeight="1">
      <c r="B58" s="160"/>
      <c r="C58" s="133" t="s">
        <v>567</v>
      </c>
      <c r="D58" s="776"/>
      <c r="E58" s="163" t="s">
        <v>568</v>
      </c>
      <c r="F58" s="771">
        <f>'A6a. Operations-Site 1'!E82</f>
        <v>0</v>
      </c>
      <c r="G58" s="153"/>
      <c r="H58" s="153"/>
      <c r="I58" s="747" t="str">
        <f t="shared" si="2"/>
        <v/>
      </c>
      <c r="J58" s="774"/>
      <c r="K58" s="774"/>
      <c r="L58" s="774"/>
      <c r="M58" s="774"/>
      <c r="N58" s="774"/>
      <c r="O58" s="774"/>
      <c r="P58" s="774"/>
      <c r="Q58" s="774"/>
      <c r="R58" s="774"/>
      <c r="S58" s="774"/>
      <c r="T58" s="774"/>
      <c r="U58" s="774"/>
      <c r="V58" s="774"/>
    </row>
    <row r="59" spans="2:22" ht="15.5">
      <c r="B59" s="160"/>
      <c r="C59" s="776" t="s">
        <v>569</v>
      </c>
      <c r="D59" s="776"/>
      <c r="E59" s="163" t="s">
        <v>570</v>
      </c>
      <c r="F59" s="771">
        <f>'A6a. Operations-Site 1'!E64</f>
        <v>0</v>
      </c>
      <c r="G59" s="153"/>
      <c r="H59" s="153"/>
      <c r="I59" s="747" t="str">
        <f t="shared" si="2"/>
        <v/>
      </c>
      <c r="J59" s="774"/>
      <c r="K59" s="774"/>
      <c r="L59" s="774"/>
      <c r="M59" s="774"/>
      <c r="N59" s="774"/>
      <c r="O59" s="774"/>
      <c r="P59" s="774"/>
      <c r="Q59" s="774"/>
      <c r="R59" s="774"/>
      <c r="S59" s="774"/>
      <c r="T59" s="774"/>
      <c r="U59" s="774"/>
      <c r="V59" s="774"/>
    </row>
    <row r="60" spans="2:22" ht="15.5">
      <c r="B60" s="160"/>
      <c r="C60" s="776" t="s">
        <v>571</v>
      </c>
      <c r="D60" s="776"/>
      <c r="E60" s="163" t="s">
        <v>572</v>
      </c>
      <c r="F60" s="771">
        <f>'A6a. Operations-Site 1'!E69</f>
        <v>0</v>
      </c>
      <c r="G60" s="153"/>
      <c r="H60" s="153"/>
      <c r="I60" s="747" t="str">
        <f t="shared" si="2"/>
        <v/>
      </c>
      <c r="J60" s="774"/>
      <c r="K60" s="774"/>
      <c r="L60" s="774"/>
      <c r="M60" s="774"/>
      <c r="N60" s="774"/>
      <c r="O60" s="774"/>
      <c r="P60" s="774"/>
      <c r="Q60" s="774"/>
      <c r="R60" s="774"/>
      <c r="S60" s="774"/>
      <c r="T60" s="774"/>
      <c r="U60" s="774"/>
      <c r="V60" s="774"/>
    </row>
    <row r="61" spans="2:22" ht="15.5">
      <c r="B61" s="157"/>
      <c r="C61" s="133"/>
      <c r="D61" s="133"/>
      <c r="E61" s="133"/>
      <c r="F61" s="133"/>
      <c r="G61" s="133"/>
      <c r="H61" s="133"/>
      <c r="I61" s="782"/>
      <c r="J61" s="774"/>
      <c r="K61" s="774"/>
      <c r="L61" s="774"/>
      <c r="M61" s="774"/>
      <c r="N61" s="774"/>
      <c r="O61" s="774"/>
      <c r="P61" s="774"/>
      <c r="Q61" s="774"/>
      <c r="R61" s="774"/>
      <c r="S61" s="774"/>
      <c r="T61" s="774"/>
      <c r="U61" s="774"/>
      <c r="V61" s="774"/>
    </row>
    <row r="62" spans="2:22" ht="15.5">
      <c r="B62" s="157"/>
      <c r="C62" s="775" t="s">
        <v>89</v>
      </c>
      <c r="D62" s="775"/>
      <c r="E62" s="775"/>
      <c r="F62" s="1"/>
      <c r="G62" s="1"/>
      <c r="H62" s="1"/>
      <c r="I62" s="748"/>
      <c r="J62" s="774"/>
      <c r="K62" s="774"/>
      <c r="L62" s="774"/>
      <c r="M62" s="774"/>
      <c r="N62" s="774"/>
      <c r="O62" s="774"/>
      <c r="P62" s="774"/>
      <c r="Q62" s="774"/>
      <c r="R62" s="774"/>
      <c r="S62" s="774"/>
      <c r="T62" s="774"/>
      <c r="U62" s="774"/>
      <c r="V62" s="774"/>
    </row>
    <row r="63" spans="2:22" ht="22.5" customHeight="1">
      <c r="B63" s="783"/>
      <c r="C63" s="136" t="s">
        <v>573</v>
      </c>
      <c r="D63" s="136"/>
      <c r="E63" s="784" t="s">
        <v>574</v>
      </c>
      <c r="F63" s="785">
        <f>'A6a. Operations-Site 1'!E54+'A6a. Operations-Site 1'!E58+'A6a. Operations-Site 1'!E56+'A6a. Operations-Site 1'!E60</f>
        <v>0</v>
      </c>
      <c r="G63" s="165"/>
      <c r="H63" s="165"/>
      <c r="I63" s="747" t="str">
        <f>+IFERROR(F63/$F$73,"")</f>
        <v/>
      </c>
      <c r="J63" s="774"/>
      <c r="K63" s="774"/>
      <c r="L63" s="774"/>
      <c r="M63" s="774"/>
      <c r="N63" s="774"/>
      <c r="O63" s="774"/>
      <c r="P63" s="774"/>
      <c r="Q63" s="774"/>
      <c r="R63" s="774"/>
      <c r="S63" s="774"/>
      <c r="T63" s="774"/>
      <c r="U63" s="774"/>
      <c r="V63" s="774"/>
    </row>
    <row r="64" spans="2:22" ht="15">
      <c r="B64" s="783"/>
      <c r="C64" s="136" t="s">
        <v>575</v>
      </c>
      <c r="D64" s="136"/>
      <c r="E64" s="784" t="s">
        <v>576</v>
      </c>
      <c r="F64" s="786">
        <f>'A6a. Operations-Site 1'!E55+'A6a. Operations-Site 1'!E57</f>
        <v>0</v>
      </c>
      <c r="G64" s="165"/>
      <c r="H64" s="165"/>
      <c r="I64" s="747" t="str">
        <f t="shared" ref="I64:I70" si="3">+IFERROR(F64/$F$73,"")</f>
        <v/>
      </c>
      <c r="J64" s="774"/>
      <c r="K64" s="774"/>
      <c r="L64" s="774"/>
      <c r="M64" s="774"/>
      <c r="N64" s="774"/>
      <c r="O64" s="774"/>
      <c r="P64" s="774"/>
      <c r="Q64" s="774"/>
      <c r="R64" s="774"/>
      <c r="S64" s="774"/>
      <c r="T64" s="774"/>
      <c r="U64" s="774"/>
      <c r="V64" s="774"/>
    </row>
    <row r="65" spans="2:22" ht="15">
      <c r="B65" s="783"/>
      <c r="C65" s="136" t="s">
        <v>577</v>
      </c>
      <c r="D65" s="136"/>
      <c r="E65" s="784" t="s">
        <v>578</v>
      </c>
      <c r="F65" s="785">
        <f>'A6a. Operations-Site 1'!E72+'A6a. Operations-Site 1'!E73+'A6a. Operations-Site 1'!E74-'A3. Peel Region Grants'!G38</f>
        <v>0</v>
      </c>
      <c r="G65" s="165"/>
      <c r="H65" s="165"/>
      <c r="I65" s="747" t="str">
        <f t="shared" si="3"/>
        <v/>
      </c>
      <c r="J65" s="774"/>
      <c r="K65" s="774"/>
      <c r="L65" s="774"/>
      <c r="M65" s="774"/>
      <c r="N65" s="774"/>
      <c r="O65" s="774"/>
      <c r="P65" s="774"/>
      <c r="Q65" s="774"/>
      <c r="R65" s="774"/>
      <c r="S65" s="774"/>
      <c r="T65" s="774"/>
      <c r="U65" s="774"/>
      <c r="V65" s="774"/>
    </row>
    <row r="66" spans="2:22" ht="30">
      <c r="B66" s="783"/>
      <c r="C66" s="136" t="s">
        <v>579</v>
      </c>
      <c r="D66" s="136"/>
      <c r="E66" s="784" t="s">
        <v>580</v>
      </c>
      <c r="F66" s="785">
        <f>'A6a. Operations-Site 1'!E65+'A6a. Operations-Site 1'!E68+'A6a. Operations-Site 1'!E81+'A6a. Operations-Site 1'!E88+'A6a. Operations-Site 1'!E94</f>
        <v>0</v>
      </c>
      <c r="G66" s="165"/>
      <c r="H66" s="165"/>
      <c r="I66" s="747" t="str">
        <f t="shared" si="3"/>
        <v/>
      </c>
      <c r="J66" s="774"/>
      <c r="K66" s="774"/>
      <c r="L66" s="774"/>
      <c r="M66" s="774"/>
      <c r="N66" s="774"/>
      <c r="O66" s="774"/>
      <c r="P66" s="774"/>
      <c r="Q66" s="774"/>
      <c r="R66" s="774"/>
      <c r="S66" s="774"/>
      <c r="T66" s="774"/>
      <c r="U66" s="774"/>
      <c r="V66" s="774"/>
    </row>
    <row r="67" spans="2:22" ht="15">
      <c r="B67" s="783"/>
      <c r="C67" s="136" t="s">
        <v>581</v>
      </c>
      <c r="D67" s="136"/>
      <c r="E67" s="784" t="s">
        <v>582</v>
      </c>
      <c r="F67" s="785">
        <f>'A6a. Operations-Site 1'!E77+'A6a. Operations-Site 1'!E78</f>
        <v>0</v>
      </c>
      <c r="G67" s="165"/>
      <c r="H67" s="165"/>
      <c r="I67" s="747" t="str">
        <f t="shared" si="3"/>
        <v/>
      </c>
      <c r="J67" s="774"/>
      <c r="K67" s="774"/>
      <c r="L67" s="774"/>
      <c r="M67" s="774"/>
      <c r="N67" s="774"/>
      <c r="O67" s="774"/>
      <c r="P67" s="774"/>
      <c r="Q67" s="774"/>
      <c r="R67" s="774"/>
      <c r="S67" s="774"/>
      <c r="T67" s="774"/>
      <c r="U67" s="774"/>
      <c r="V67" s="774"/>
    </row>
    <row r="68" spans="2:22" ht="15">
      <c r="B68" s="783"/>
      <c r="C68" s="136" t="s">
        <v>583</v>
      </c>
      <c r="D68" s="136"/>
      <c r="E68" s="784" t="s">
        <v>584</v>
      </c>
      <c r="F68" s="785">
        <f>'A6a. Operations-Site 1'!E66+'A6a. Operations-Site 1'!E105</f>
        <v>0</v>
      </c>
      <c r="G68" s="165"/>
      <c r="H68" s="165"/>
      <c r="I68" s="747" t="str">
        <f>+IFERROR(F68/$F$73,"")</f>
        <v/>
      </c>
      <c r="J68" s="774"/>
      <c r="K68" s="774"/>
      <c r="L68" s="774"/>
      <c r="M68" s="774"/>
      <c r="N68" s="774"/>
      <c r="O68" s="774"/>
      <c r="P68" s="774"/>
      <c r="Q68" s="774"/>
      <c r="R68" s="774"/>
      <c r="S68" s="774"/>
      <c r="T68" s="774"/>
      <c r="U68" s="774"/>
      <c r="V68" s="774"/>
    </row>
    <row r="69" spans="2:22" ht="15">
      <c r="B69" s="783"/>
      <c r="C69" s="136" t="s">
        <v>585</v>
      </c>
      <c r="D69" s="136"/>
      <c r="E69" s="784" t="s">
        <v>586</v>
      </c>
      <c r="F69" s="785">
        <f>'A6a. Operations-Site 1'!E89+'A6a. Operations-Site 1'!E90</f>
        <v>0</v>
      </c>
      <c r="G69" s="165"/>
      <c r="H69" s="165"/>
      <c r="I69" s="747" t="str">
        <f t="shared" si="3"/>
        <v/>
      </c>
      <c r="J69" s="774"/>
      <c r="K69" s="774"/>
      <c r="L69" s="774"/>
      <c r="M69" s="774"/>
      <c r="N69" s="774"/>
      <c r="O69" s="774"/>
      <c r="P69" s="774"/>
      <c r="Q69" s="774"/>
      <c r="R69" s="774"/>
      <c r="S69" s="774"/>
      <c r="T69" s="774"/>
      <c r="U69" s="774"/>
      <c r="V69" s="774"/>
    </row>
    <row r="70" spans="2:22" ht="15" hidden="1">
      <c r="B70" s="783"/>
      <c r="C70" s="136" t="s">
        <v>587</v>
      </c>
      <c r="D70" s="136"/>
      <c r="E70" s="784" t="s">
        <v>588</v>
      </c>
      <c r="F70" s="785"/>
      <c r="G70" s="165"/>
      <c r="H70" s="165"/>
      <c r="I70" s="747" t="str">
        <f t="shared" si="3"/>
        <v/>
      </c>
      <c r="J70" s="774"/>
      <c r="K70" s="774"/>
      <c r="L70" s="774"/>
      <c r="M70" s="774"/>
      <c r="N70" s="774"/>
      <c r="O70" s="774"/>
      <c r="P70" s="774"/>
      <c r="Q70" s="774"/>
      <c r="R70" s="774"/>
      <c r="S70" s="774"/>
      <c r="T70" s="774"/>
      <c r="U70" s="774"/>
      <c r="V70" s="774"/>
    </row>
    <row r="71" spans="2:22" ht="15">
      <c r="B71" s="783"/>
      <c r="C71" s="136" t="s">
        <v>589</v>
      </c>
      <c r="D71" s="136"/>
      <c r="E71" s="784" t="s">
        <v>590</v>
      </c>
      <c r="F71" s="785">
        <f>'A6a. Operations-Site 1'!E84+'A6a. Operations-Site 1'!E85+'A6a. Operations-Site 1'!E86+'A6a. Operations-Site 1'!E87+'A6a. Operations-Site 1'!E91+'A6a. Operations-Site 1'!E92+'A6a. Operations-Site 1'!E93+'A6a. Operations-Site 1'!E96+'A6a. Operations-Site 1'!E95+'A6a. Operations-Site 1'!E98+'A6a. Operations-Site 1'!E99+'A6a. Operations-Site 1'!E100+'A6a. Operations-Site 1'!E101+'A6a. Operations-Site 1'!E107+'A6a. Operations-Site 1'!E108+'A7. 2025 CWELCC &amp; OTEF Recon'!D41+IF('A3. Peel Region Grants'!C117&gt;'A3. Peel Region Grants'!C107,(('A3. Peel Region Grants'!C117-'A3. Peel Region Grants'!C107)-(('A3. Peel Region Grants'!C117-'A3. Peel Region Grants'!C107)*'A3. Peel Region Grants'!I108)),0)</f>
        <v>0</v>
      </c>
      <c r="G71" s="165"/>
      <c r="H71" s="165"/>
      <c r="I71" s="747" t="str">
        <f>+IFERROR(F71/$F$73,"")</f>
        <v/>
      </c>
      <c r="J71" s="774"/>
      <c r="K71" s="774"/>
      <c r="L71" s="774"/>
      <c r="M71" s="774"/>
      <c r="N71" s="774"/>
      <c r="O71" s="774"/>
      <c r="P71" s="774"/>
      <c r="Q71" s="774"/>
      <c r="R71" s="774"/>
      <c r="S71" s="774"/>
      <c r="T71" s="774"/>
      <c r="U71" s="774"/>
      <c r="V71" s="774"/>
    </row>
    <row r="72" spans="2:22" ht="15.5">
      <c r="B72" s="157"/>
      <c r="C72" s="776"/>
      <c r="D72" s="776"/>
      <c r="E72" s="776"/>
      <c r="F72" s="780"/>
      <c r="G72" s="780"/>
      <c r="H72" s="780"/>
      <c r="I72" s="787"/>
      <c r="J72" s="774"/>
      <c r="K72" s="774"/>
      <c r="L72" s="774"/>
      <c r="M72" s="774"/>
      <c r="N72" s="774"/>
      <c r="O72" s="774"/>
      <c r="P72" s="774"/>
      <c r="Q72" s="774"/>
      <c r="R72" s="774"/>
      <c r="S72" s="774"/>
      <c r="T72" s="774"/>
      <c r="U72" s="774"/>
      <c r="V72" s="774"/>
    </row>
    <row r="73" spans="2:22" ht="30.5">
      <c r="B73" s="157"/>
      <c r="C73" s="788" t="s">
        <v>591</v>
      </c>
      <c r="D73" s="788"/>
      <c r="E73" s="788"/>
      <c r="F73" s="166">
        <f>+SUM(F40:F44,F48:F52,F56:F60,F63:F71)</f>
        <v>0</v>
      </c>
      <c r="G73" s="166"/>
      <c r="H73" s="166"/>
      <c r="I73" s="750">
        <f>+SUM(I40:I72)</f>
        <v>0</v>
      </c>
      <c r="J73" s="774"/>
      <c r="K73" s="774"/>
      <c r="L73" s="774"/>
      <c r="M73" s="774"/>
      <c r="N73" s="774"/>
      <c r="O73" s="774"/>
      <c r="P73" s="774"/>
      <c r="Q73" s="774"/>
      <c r="R73" s="774"/>
      <c r="S73" s="774"/>
      <c r="T73" s="774"/>
      <c r="U73" s="774"/>
      <c r="V73" s="774"/>
    </row>
    <row r="74" spans="2:22" ht="15.5">
      <c r="B74" s="157"/>
      <c r="C74" s="788"/>
      <c r="D74" s="788"/>
      <c r="E74" s="788"/>
      <c r="F74" s="166"/>
      <c r="G74" s="166"/>
      <c r="H74" s="166"/>
      <c r="I74" s="434"/>
      <c r="J74" s="774"/>
      <c r="K74" s="774"/>
      <c r="L74" s="774"/>
      <c r="M74" s="774"/>
      <c r="N74" s="774"/>
      <c r="O74" s="774"/>
      <c r="P74" s="774"/>
      <c r="Q74" s="774"/>
      <c r="R74" s="774"/>
      <c r="S74" s="774"/>
      <c r="T74" s="774"/>
      <c r="U74" s="774"/>
      <c r="V74" s="774"/>
    </row>
    <row r="75" spans="2:22" ht="15.5">
      <c r="B75" s="160"/>
      <c r="C75" s="776" t="s">
        <v>592</v>
      </c>
      <c r="D75" s="776"/>
      <c r="E75" s="789" t="s">
        <v>593</v>
      </c>
      <c r="F75" s="771">
        <f>'A3. Peel Region Grants'!D81+'A3. Peel Region Grants'!D122</f>
        <v>0</v>
      </c>
      <c r="G75" s="153"/>
      <c r="H75" s="153"/>
      <c r="I75" s="211"/>
      <c r="J75" s="774"/>
      <c r="K75" s="774"/>
      <c r="L75" s="774"/>
      <c r="M75" s="774"/>
      <c r="N75" s="774"/>
      <c r="O75" s="774"/>
      <c r="P75" s="774"/>
      <c r="Q75" s="774"/>
      <c r="R75" s="774"/>
      <c r="S75" s="774"/>
      <c r="T75" s="774"/>
      <c r="U75" s="774"/>
      <c r="V75" s="774"/>
    </row>
    <row r="76" spans="2:22" ht="15.5">
      <c r="B76" s="1"/>
      <c r="C76" s="133"/>
      <c r="D76" s="133"/>
      <c r="E76" s="133"/>
      <c r="F76" s="1"/>
      <c r="G76" s="1"/>
      <c r="H76" s="1"/>
      <c r="I76" s="595"/>
      <c r="J76" s="774"/>
      <c r="K76" s="774"/>
      <c r="L76" s="774"/>
      <c r="M76" s="774"/>
      <c r="N76" s="774"/>
      <c r="O76" s="774"/>
      <c r="P76" s="774"/>
      <c r="Q76" s="774"/>
      <c r="R76" s="774"/>
      <c r="S76" s="774"/>
      <c r="T76" s="774"/>
      <c r="U76" s="774"/>
      <c r="V76" s="774"/>
    </row>
    <row r="77" spans="2:22" ht="30.5">
      <c r="B77" s="1"/>
      <c r="C77" s="788" t="s">
        <v>594</v>
      </c>
      <c r="D77" s="788"/>
      <c r="E77" s="788"/>
      <c r="F77" s="166">
        <f>+F73+F75</f>
        <v>0</v>
      </c>
      <c r="G77" s="166"/>
      <c r="H77" s="166"/>
      <c r="I77" s="434"/>
      <c r="J77" s="774"/>
      <c r="K77" s="774"/>
      <c r="L77" s="774"/>
      <c r="M77" s="774"/>
      <c r="N77" s="774"/>
      <c r="O77" s="774"/>
      <c r="P77" s="774"/>
      <c r="Q77" s="774"/>
      <c r="R77" s="774"/>
      <c r="S77" s="774"/>
      <c r="T77" s="774"/>
      <c r="U77" s="774"/>
      <c r="V77" s="774"/>
    </row>
    <row r="78" spans="2:22" ht="15.5">
      <c r="B78" s="1"/>
      <c r="C78" s="133"/>
      <c r="D78" s="133"/>
      <c r="E78" s="133"/>
      <c r="F78" s="130"/>
      <c r="G78" s="131"/>
      <c r="H78" s="131"/>
      <c r="I78" s="595"/>
      <c r="J78" s="774"/>
      <c r="K78" s="774"/>
      <c r="L78" s="774"/>
      <c r="M78" s="774"/>
      <c r="N78" s="774"/>
      <c r="O78" s="774"/>
      <c r="P78" s="774"/>
      <c r="Q78" s="774"/>
      <c r="R78" s="774"/>
      <c r="S78" s="774"/>
      <c r="T78" s="774"/>
      <c r="U78" s="774"/>
      <c r="V78" s="774"/>
    </row>
    <row r="79" spans="2:22" ht="30.5">
      <c r="B79" s="1"/>
      <c r="C79" s="790" t="str">
        <f>"Of the "&amp;TEXT(F77,"$#,###.00")&amp;", how much was specifically spent to support the inclusion of eligible children with special needs?"</f>
        <v>Of the $.00, how much was specifically spent to support the inclusion of eligible children with special needs?</v>
      </c>
      <c r="D79" s="788"/>
      <c r="E79" s="789" t="s">
        <v>595</v>
      </c>
      <c r="F79" s="771">
        <f>'A4. KPIs'!E54</f>
        <v>0</v>
      </c>
      <c r="G79" s="166"/>
      <c r="H79" s="166"/>
      <c r="I79" s="434"/>
      <c r="J79" s="774"/>
      <c r="K79" s="774"/>
      <c r="L79" s="774"/>
      <c r="M79" s="774"/>
      <c r="N79" s="774"/>
      <c r="O79" s="774"/>
      <c r="P79" s="774"/>
      <c r="Q79" s="774"/>
      <c r="R79" s="774"/>
      <c r="S79" s="774"/>
      <c r="T79" s="774"/>
      <c r="U79" s="774"/>
      <c r="V79" s="774"/>
    </row>
    <row r="80" spans="2:22" ht="15.5">
      <c r="B80" s="1"/>
      <c r="C80" s="133"/>
      <c r="D80" s="133"/>
      <c r="E80" s="133"/>
      <c r="F80" s="1"/>
      <c r="G80" s="1"/>
      <c r="H80" s="1"/>
      <c r="I80" s="595"/>
      <c r="J80" s="774"/>
      <c r="K80" s="774"/>
      <c r="L80" s="774"/>
      <c r="M80" s="774"/>
      <c r="N80" s="774"/>
      <c r="O80" s="774"/>
      <c r="P80" s="774"/>
      <c r="Q80" s="774"/>
      <c r="R80" s="774"/>
      <c r="S80" s="774"/>
      <c r="T80" s="774"/>
      <c r="U80" s="774"/>
      <c r="V80" s="774"/>
    </row>
    <row r="81" spans="2:22" ht="15.5">
      <c r="B81" s="148"/>
      <c r="C81" s="776" t="s">
        <v>596</v>
      </c>
      <c r="D81" s="776"/>
      <c r="E81" s="791"/>
      <c r="F81" s="1" t="s">
        <v>597</v>
      </c>
      <c r="G81" s="148"/>
      <c r="H81" s="148"/>
      <c r="I81" s="1" t="s">
        <v>598</v>
      </c>
      <c r="J81" s="774"/>
      <c r="K81" s="774"/>
      <c r="L81" s="774"/>
      <c r="M81" s="774"/>
      <c r="N81" s="774"/>
      <c r="O81" s="774"/>
      <c r="P81" s="774"/>
      <c r="Q81" s="774"/>
      <c r="R81" s="774"/>
      <c r="S81" s="774"/>
      <c r="T81" s="774"/>
      <c r="U81" s="774"/>
      <c r="V81" s="774"/>
    </row>
    <row r="82" spans="2:22" ht="15">
      <c r="B82" s="167" t="s">
        <v>599</v>
      </c>
      <c r="C82" s="792">
        <f>'A1. Identification'!D14</f>
        <v>0</v>
      </c>
      <c r="D82" s="168"/>
      <c r="E82" s="167" t="s">
        <v>600</v>
      </c>
      <c r="F82" s="793">
        <f>'A1. Identification'!D15</f>
        <v>0</v>
      </c>
      <c r="G82" s="169"/>
      <c r="H82" s="167" t="s">
        <v>601</v>
      </c>
      <c r="I82" s="794">
        <f>'A1. Identification'!D16</f>
        <v>0</v>
      </c>
    </row>
    <row r="85" spans="2:22" ht="17.5">
      <c r="B85" s="769" t="s">
        <v>602</v>
      </c>
      <c r="C85" s="133"/>
      <c r="D85" s="133"/>
      <c r="E85" s="133"/>
      <c r="F85" s="149"/>
      <c r="G85" s="170"/>
      <c r="H85" s="170"/>
      <c r="I85" s="773"/>
    </row>
    <row r="86" spans="2:22" ht="17.5">
      <c r="B86" s="769"/>
      <c r="C86" s="133"/>
      <c r="D86" s="133"/>
      <c r="E86" s="133"/>
      <c r="F86" s="149"/>
      <c r="G86" s="170"/>
      <c r="H86" s="170"/>
      <c r="I86" s="773"/>
    </row>
    <row r="87" spans="2:22" ht="17.5">
      <c r="B87" s="769"/>
      <c r="C87" s="1" t="s">
        <v>603</v>
      </c>
      <c r="D87" s="148"/>
      <c r="E87" s="133"/>
      <c r="F87" s="130"/>
      <c r="G87" s="170"/>
      <c r="H87" s="170"/>
      <c r="I87" s="773"/>
    </row>
    <row r="88" spans="2:22" ht="15.5">
      <c r="B88" s="167" t="s">
        <v>604</v>
      </c>
      <c r="C88" s="795">
        <f>'A1. Identification'!D17</f>
        <v>0</v>
      </c>
      <c r="D88" s="171"/>
      <c r="E88" s="133"/>
      <c r="F88" s="149"/>
      <c r="G88" s="170"/>
      <c r="H88" s="170"/>
      <c r="I88" s="773"/>
    </row>
    <row r="89" spans="2:22" ht="17.5">
      <c r="B89" s="769"/>
      <c r="C89" s="172" t="str">
        <f>IF(AND(C88="",F10=""),"WARNING: Signing Officer and License Number are needed to complete attestation.","")</f>
        <v/>
      </c>
      <c r="D89" s="171"/>
      <c r="E89" s="133"/>
      <c r="F89" s="150"/>
      <c r="G89" s="170"/>
      <c r="H89" s="170"/>
      <c r="I89" s="773"/>
    </row>
    <row r="90" spans="2:22" ht="15.5">
      <c r="B90" s="1"/>
      <c r="C90" s="796" t="str">
        <f>IF(C88="","[The attestation text will appear once box 4C is completed]","Attestation")</f>
        <v>Attestation</v>
      </c>
      <c r="D90" s="173"/>
      <c r="E90" s="133"/>
      <c r="F90" s="149"/>
      <c r="G90" s="149"/>
      <c r="H90" s="149"/>
      <c r="I90" s="773"/>
    </row>
    <row r="91" spans="2:22" ht="15.5">
      <c r="B91" s="1"/>
      <c r="C91" s="174" t="str">
        <f>IF(C88="","","I, "&amp;C88&amp;", confirm that:")</f>
        <v>I, 0, confirm that:</v>
      </c>
      <c r="D91" s="173"/>
      <c r="E91" s="133"/>
      <c r="F91" s="1"/>
      <c r="G91" s="149"/>
      <c r="H91" s="149"/>
      <c r="I91" s="773"/>
    </row>
    <row r="92" spans="2:22" ht="15.5">
      <c r="B92" s="1"/>
      <c r="C92" s="175" t="str">
        <f>IF(C88="",""," I have signing authority with respect to licence # "&amp;F8&amp;".")</f>
        <v xml:space="preserve"> I have signing authority with respect to licence # 0.</v>
      </c>
      <c r="D92" s="173"/>
      <c r="E92" s="133"/>
      <c r="F92" s="149"/>
      <c r="G92" s="149"/>
      <c r="H92" s="149"/>
      <c r="I92" s="773"/>
    </row>
    <row r="93" spans="2:22" ht="55.5" customHeight="1">
      <c r="B93" s="1"/>
      <c r="C93" s="175" t="str">
        <f>IF(C88="","","The information contained in this Standardized Financial Report for the reporting year "&amp;F14&amp;" is accurate and a true reflection of the eligible costs incurred by the licensee for which cost-based funding was used.")</f>
        <v>The information contained in this Standardized Financial Report for the reporting year 2025 is accurate and a true reflection of the eligible costs incurred by the licensee for which cost-based funding was used.</v>
      </c>
      <c r="D93" s="173"/>
      <c r="E93" s="133"/>
      <c r="F93" s="149"/>
      <c r="G93" s="149"/>
      <c r="H93" s="149"/>
      <c r="I93" s="773"/>
    </row>
    <row r="94" spans="2:22" ht="46.5" customHeight="1">
      <c r="B94" s="1"/>
      <c r="C94" s="175" t="str">
        <f>IF(C88="","","Cost-based allocation funding was used by the licensee to cover eligible costs only in accordance with the parameters established by "&amp;F9&amp;". ")</f>
        <v xml:space="preserve">Cost-based allocation funding was used by the licensee to cover eligible costs only in accordance with the parameters established by 0. </v>
      </c>
      <c r="D94" s="173"/>
      <c r="E94" s="133"/>
      <c r="F94" s="149"/>
      <c r="G94" s="149"/>
      <c r="H94" s="149"/>
      <c r="I94" s="773"/>
    </row>
    <row r="95" spans="2:22" ht="20">
      <c r="B95" s="1"/>
      <c r="C95" s="797" t="s">
        <v>605</v>
      </c>
      <c r="D95" s="797"/>
      <c r="E95" s="797"/>
      <c r="F95" s="2" t="s">
        <v>606</v>
      </c>
      <c r="G95" s="148"/>
      <c r="H95" s="148"/>
      <c r="I95" s="1"/>
    </row>
    <row r="96" spans="2:22" ht="20">
      <c r="B96" s="1"/>
      <c r="C96" s="870">
        <f>'A1. Identification'!D26</f>
        <v>0</v>
      </c>
      <c r="D96" s="176"/>
      <c r="E96" s="167" t="s">
        <v>607</v>
      </c>
      <c r="F96" s="798">
        <f>'A1. Identification'!D28</f>
        <v>0</v>
      </c>
      <c r="G96" s="171"/>
      <c r="H96" s="171"/>
      <c r="I96" s="1"/>
    </row>
    <row r="97" spans="2:9" ht="30.5">
      <c r="B97" s="1"/>
      <c r="C97" s="133" t="s">
        <v>608</v>
      </c>
      <c r="D97" s="133"/>
      <c r="E97" s="133"/>
      <c r="F97" s="177"/>
      <c r="G97" s="178"/>
      <c r="H97" s="156"/>
      <c r="I97" s="1"/>
    </row>
  </sheetData>
  <sheetProtection algorithmName="SHA-512" hashValue="mXJyAwYBocnp4wqr58xc3STFmX3d+LGuwAq/UHkJDGAoEW0Oj6s6kmrTmVgqGDgUEk5FSJmj9Bi1xGrmCtAzzQ==" saltValue="W9OR5MALK4P8Zd3tcPMhzw==" spinCount="100000" sheet="1" objects="1" scenarios="1"/>
  <mergeCells count="1">
    <mergeCell ref="A1:I1"/>
  </mergeCells>
  <conditionalFormatting sqref="C91:C94">
    <cfRule type="cellIs" dxfId="121" priority="3" operator="notEqual">
      <formula>""</formula>
    </cfRule>
  </conditionalFormatting>
  <conditionalFormatting sqref="C88:D88 D89:D94">
    <cfRule type="cellIs" dxfId="120" priority="4" operator="notEqual">
      <formula>""</formula>
    </cfRule>
  </conditionalFormatting>
  <conditionalFormatting sqref="C96:D96">
    <cfRule type="notContainsBlanks" dxfId="119" priority="6">
      <formula>LEN(TRIM(C96))&gt;0</formula>
    </cfRule>
  </conditionalFormatting>
  <conditionalFormatting sqref="F21:F26">
    <cfRule type="cellIs" dxfId="118" priority="2" operator="notEqual">
      <formula>""</formula>
    </cfRule>
  </conditionalFormatting>
  <conditionalFormatting sqref="F79">
    <cfRule type="cellIs" dxfId="117" priority="7" operator="notEqual">
      <formula>""</formula>
    </cfRule>
  </conditionalFormatting>
  <conditionalFormatting sqref="F8:H14 H27">
    <cfRule type="cellIs" dxfId="116" priority="11" operator="notEqual">
      <formula>""</formula>
    </cfRule>
  </conditionalFormatting>
  <conditionalFormatting sqref="F18:H18">
    <cfRule type="cellIs" dxfId="115" priority="12" operator="notEqual">
      <formula>""</formula>
    </cfRule>
  </conditionalFormatting>
  <conditionalFormatting sqref="F32:H33 F40:H45 F48:H53 F56:H60 F63:H71 C82:D82 F82:G82 I82">
    <cfRule type="cellIs" dxfId="114" priority="8" operator="notEqual">
      <formula>""</formula>
    </cfRule>
  </conditionalFormatting>
  <conditionalFormatting sqref="F75:H75">
    <cfRule type="cellIs" dxfId="113" priority="1" operator="notEqual">
      <formula>""</formula>
    </cfRule>
  </conditionalFormatting>
  <conditionalFormatting sqref="F96:H96">
    <cfRule type="cellIs" dxfId="112" priority="5" operator="notEqual">
      <formula>""</formula>
    </cfRule>
  </conditionalFormatting>
  <conditionalFormatting sqref="I21:I26">
    <cfRule type="cellIs" dxfId="111" priority="10" operator="notEqual">
      <formula>""</formula>
    </cfRule>
  </conditionalFormatting>
  <conditionalFormatting sqref="I38:I39">
    <cfRule type="top10" dxfId="110" priority="9" percent="1" rank="10"/>
  </conditionalFormatting>
  <dataValidations count="22">
    <dataValidation type="date" operator="greaterThanOrEqual" allowBlank="1" showInputMessage="1" showErrorMessage="1" error="Must be a date not earlier than today's date" sqref="F96" xr:uid="{6739353B-FCD9-4303-A31D-41868AA914DA}">
      <formula1>TODAY()</formula1>
    </dataValidation>
    <dataValidation type="whole" operator="greaterThan" allowBlank="1" showInputMessage="1" showErrorMessage="1" sqref="G32:H32" xr:uid="{EDE4FD47-4A52-479C-AA57-80F8EB41359F}">
      <formula1>0</formula1>
    </dataValidation>
    <dataValidation type="whole" operator="greaterThanOrEqual" allowBlank="1" showInputMessage="1" showErrorMessage="1" sqref="G48:H52 G63:H71 G33:H33 F75:H75" xr:uid="{BD8B5901-1244-4922-904C-8F04A9F87132}">
      <formula1>0</formula1>
    </dataValidation>
    <dataValidation allowBlank="1" showInputMessage="1" showErrorMessage="1" prompt="Please enter phone number as (###) ### - ###" sqref="G82" xr:uid="{1AAE3B3D-854E-4882-9C01-F274A62E5902}"/>
    <dataValidation type="decimal" operator="greaterThanOrEqual" allowBlank="1" showInputMessage="1" showErrorMessage="1" sqref="G40:H44" xr:uid="{A5F9E403-DA0C-4E20-BACC-E945BCAEB241}">
      <formula1>0</formula1>
    </dataValidation>
    <dataValidation type="textLength" operator="equal" allowBlank="1" showInputMessage="1" showErrorMessage="1" error="Please enter 10 digit phone number" prompt="Please enter 10 digit phone number" sqref="F82" xr:uid="{014B8DCC-C17F-4BB6-BEB2-D0624C73A342}">
      <formula1>10</formula1>
    </dataValidation>
    <dataValidation type="decimal" operator="greaterThan" allowBlank="1" showInputMessage="1" showErrorMessage="1" error="Must be an amount greater than or equal to zero." sqref="F48:F53 F66:F70 F44 F41:F43 F45 F63:F64 F57:F60 F56" xr:uid="{E06D2739-4B94-402C-A11D-A98493DD1851}">
      <formula1>0</formula1>
    </dataValidation>
    <dataValidation type="textLength" operator="lessThanOrEqual" allowBlank="1" showInputMessage="1" showErrorMessage="1" error="Must be 50 letters or less" sqref="C82 C88" xr:uid="{E64DD98C-A320-48C4-93F4-34B94CA09368}">
      <formula1>50</formula1>
    </dataValidation>
    <dataValidation type="decimal" operator="greaterThan" allowBlank="1" showInputMessage="1" showErrorMessage="1" error="Must be an amount greater than 0." sqref="F32" xr:uid="{A63F8F20-EA8D-4850-AECE-BD5541190099}">
      <formula1>0</formula1>
    </dataValidation>
    <dataValidation type="decimal" operator="greaterThanOrEqual" allowBlank="1" showInputMessage="1" showErrorMessage="1" error="Must be an amount greater than or equal to 0." sqref="F33" xr:uid="{782D7BEC-33F0-40FE-8624-BACA662A5975}">
      <formula1>0</formula1>
    </dataValidation>
    <dataValidation type="custom" allowBlank="1" showInputMessage="1" showErrorMessage="1" error="Please enter valid email address" sqref="I82" xr:uid="{D7467230-86BE-4227-931D-B0C2E528710E}">
      <formula1>AND(ISNUMBER(FIND("@",I82)), ISNUMBER(FIND(".",I82)), FIND(".",I82) &gt; FIND("@",I82))</formula1>
    </dataValidation>
    <dataValidation type="decimal" allowBlank="1" showInputMessage="1" showErrorMessage="1" error="Must be a number between 0 and the sum of all eligible costs incurred for the eligible centre, AFTER one-time, unexpected costs" prompt="A “child with special needs” means a child whose cognitive, physical, social, emotional or communicative needs, or whose needs relating to overall development, are of such a nature that additional supports are required for the child." sqref="F79" xr:uid="{79A3DDB0-814A-4525-94BD-FAAE8B5F5ADF}">
      <formula1>0</formula1>
      <formula2>F77</formula2>
    </dataValidation>
    <dataValidation type="whole" operator="greaterThanOrEqual" allowBlank="1" showInputMessage="1" showErrorMessage="1" error="Must be whole number, equal or larger than 0" sqref="F27 H27:I27" xr:uid="{B657ABBF-7B91-4EC7-93BA-51E80F24AC69}">
      <formula1>0</formula1>
    </dataValidation>
    <dataValidation type="whole" operator="greaterThanOrEqual" allowBlank="1" showInputMessage="1" showErrorMessage="1" error="Must be a number greater than or equal to 0" sqref="I21:I26 F21:F26" xr:uid="{3B02A39B-F789-4209-82E9-1ED65FF0260E}">
      <formula1>0</formula1>
    </dataValidation>
    <dataValidation allowBlank="1" showInputMessage="1" showErrorMessage="1" prompt="For example, 10 infant operating spaces for 200 service days and 5 infant operating spaces for 100 service days would be (10X20)+(5X100) = 2,500 infant operating space-days" sqref="F20" xr:uid="{EA8BCA5A-DBDE-4935-A9F1-2D5CF9646A98}"/>
    <dataValidation allowBlank="1" showInputMessage="1" showErrorMessage="1" prompt="For example, 10 infant licensed spaces for 200 service days and 5 infant licensed spaces for 100 service days would be (10X20)+(5X100) = 2,500 infant licensed space-days" sqref="I20" xr:uid="{C1E5E4FF-1990-40D9-895E-D73D5F499D84}"/>
    <dataValidation type="whole" allowBlank="1" showInputMessage="1" showErrorMessage="1" error="Must be greater than zero and less than  365" sqref="G18:H18" xr:uid="{448C3E19-F818-4033-98E5-D3D97A57DE8A}">
      <formula1>0</formula1>
      <formula2>365</formula2>
    </dataValidation>
    <dataValidation type="date" allowBlank="1" showInputMessage="1" showErrorMessage="1" error="Date must between April 1st, 2022 and December 31, 2025" prompt="(yyyy-mm-dd)" sqref="G11:G12" xr:uid="{7E7C21DC-FC08-4905-99D0-929DCB790DCB}">
      <formula1>44652</formula1>
      <formula2>46022</formula2>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8" xr:uid="{F18A3B43-59DD-44F0-8424-BF334A6F7D06}">
      <formula1>0</formula1>
      <formula2>365</formula2>
    </dataValidation>
    <dataValidation type="list" allowBlank="1" showInputMessage="1" showErrorMessage="1" error="Please select from drop-down list" sqref="F12" xr:uid="{95DE02B5-288C-4B1D-8F1B-AC88E7FE25A0}">
      <formula1>SSMs</formula1>
    </dataValidation>
    <dataValidation type="date" allowBlank="1" showInputMessage="1" showErrorMessage="1" error="Date must be between April 1st, 2022 and December 31, 2025" prompt="(yyyy-mm-dd)" sqref="F11" xr:uid="{B2F90AA1-4140-4FB5-A983-C0DC3AB7EDC6}">
      <formula1>44652</formula1>
      <formula2>46022</formula2>
    </dataValidation>
    <dataValidation type="decimal" operator="greaterThan" allowBlank="1" showInputMessage="1" error="Must be an amount greater than or equal to zero." sqref="F40 F65 F71" xr:uid="{56A0BF9C-F855-4435-BB2F-5416F87F6AA8}">
      <formula1>0</formula1>
    </dataValidation>
  </dataValidations>
  <hyperlinks>
    <hyperlink ref="I82" r:id="rId1" display="navdip_atwal@hotmail.com" xr:uid="{7F6FB29D-9B8A-45DD-96B4-068D15C7724E}"/>
  </hyperlink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4760D-010C-4D9D-8F89-4315B92E0520}">
  <sheetPr>
    <tabColor rgb="FFFFC000"/>
  </sheetPr>
  <dimension ref="A1:M114"/>
  <sheetViews>
    <sheetView showGridLines="0" zoomScale="70" zoomScaleNormal="85" workbookViewId="0">
      <selection activeCell="E20" sqref="E20"/>
    </sheetView>
  </sheetViews>
  <sheetFormatPr defaultColWidth="0" defaultRowHeight="15" zeroHeight="1"/>
  <cols>
    <col min="1" max="1" width="3.1796875" style="1" customWidth="1"/>
    <col min="2" max="2" width="8.453125" style="1" customWidth="1"/>
    <col min="3" max="3" width="106.54296875" style="1" customWidth="1"/>
    <col min="4" max="4" width="8.453125" style="198" bestFit="1" customWidth="1"/>
    <col min="5" max="5" width="32" style="183" customWidth="1"/>
    <col min="6" max="6" width="27.453125" style="184" customWidth="1"/>
    <col min="7" max="7" width="43.1796875" style="1" hidden="1" customWidth="1"/>
    <col min="8" max="8" width="21.7265625" style="205" hidden="1" customWidth="1"/>
    <col min="9" max="9" width="7.1796875" style="1" hidden="1" customWidth="1"/>
    <col min="10" max="16384" width="9.1796875" style="1" hidden="1"/>
  </cols>
  <sheetData>
    <row r="1" spans="1:13" ht="26">
      <c r="A1" s="1211" t="s">
        <v>734</v>
      </c>
      <c r="B1" s="1210"/>
      <c r="C1" s="1210"/>
      <c r="D1" s="1210"/>
      <c r="E1" s="1210"/>
      <c r="F1" s="1210"/>
      <c r="G1" s="1210"/>
      <c r="H1" s="1210"/>
      <c r="I1" s="1210"/>
    </row>
    <row r="2" spans="1:13"/>
    <row r="3" spans="1:13" s="180" customFormat="1" ht="34.5" customHeight="1">
      <c r="A3" s="122" t="s">
        <v>487</v>
      </c>
      <c r="B3" s="123"/>
      <c r="C3" s="124"/>
      <c r="D3" s="179"/>
      <c r="E3" s="125"/>
      <c r="F3" s="126"/>
    </row>
    <row r="4" spans="1:13" ht="20">
      <c r="A4" s="181"/>
      <c r="B4" s="127"/>
      <c r="C4" s="127"/>
      <c r="D4" s="182"/>
      <c r="H4" s="1"/>
    </row>
    <row r="5" spans="1:13">
      <c r="A5" s="127"/>
      <c r="B5" s="127"/>
      <c r="C5" s="127"/>
      <c r="D5" s="182"/>
      <c r="H5" s="185"/>
    </row>
    <row r="6" spans="1:13" ht="17.5">
      <c r="B6" s="132" t="s">
        <v>488</v>
      </c>
      <c r="C6" s="133"/>
      <c r="D6" s="133"/>
      <c r="E6" s="133"/>
      <c r="F6" s="186"/>
      <c r="G6" s="186"/>
      <c r="H6" s="186"/>
      <c r="J6"/>
      <c r="K6" s="185"/>
      <c r="M6"/>
    </row>
    <row r="7" spans="1:13" ht="15.5">
      <c r="B7" s="187" t="s">
        <v>609</v>
      </c>
      <c r="C7" s="133"/>
      <c r="D7" s="133"/>
      <c r="E7" s="133"/>
      <c r="F7" s="186"/>
      <c r="G7" s="186"/>
      <c r="H7" s="186"/>
      <c r="J7"/>
      <c r="K7" s="185"/>
      <c r="L7" s="127"/>
      <c r="M7"/>
    </row>
    <row r="8" spans="1:13" s="134" customFormat="1">
      <c r="B8" s="135" t="s">
        <v>610</v>
      </c>
      <c r="C8" s="136"/>
      <c r="D8" s="136"/>
      <c r="E8" s="188" t="s">
        <v>726</v>
      </c>
      <c r="G8" s="189"/>
      <c r="H8" s="189"/>
      <c r="I8" s="1"/>
      <c r="L8" s="190"/>
    </row>
    <row r="9" spans="1:13" s="134" customFormat="1">
      <c r="B9" s="135" t="s">
        <v>301</v>
      </c>
      <c r="C9" s="136"/>
      <c r="D9" s="191" t="s">
        <v>491</v>
      </c>
      <c r="E9" s="882">
        <f>'A6a. Operations-Site 1'!F7</f>
        <v>0</v>
      </c>
      <c r="G9" s="193"/>
      <c r="H9" s="193"/>
      <c r="I9" s="1"/>
      <c r="K9" s="194"/>
      <c r="L9" s="190"/>
    </row>
    <row r="10" spans="1:13" s="134" customFormat="1">
      <c r="B10" s="135" t="s">
        <v>492</v>
      </c>
      <c r="D10" s="191" t="s">
        <v>493</v>
      </c>
      <c r="E10" s="192">
        <f>'A11.SFR&amp; Attestation Site 1'!F9</f>
        <v>0</v>
      </c>
      <c r="G10" s="193"/>
      <c r="H10" s="193"/>
      <c r="K10" s="194"/>
    </row>
    <row r="11" spans="1:13" s="134" customFormat="1">
      <c r="B11" s="135" t="s">
        <v>611</v>
      </c>
      <c r="C11" s="136"/>
      <c r="D11" s="191" t="s">
        <v>502</v>
      </c>
      <c r="E11" s="192">
        <v>2025</v>
      </c>
      <c r="G11" s="195"/>
      <c r="H11" s="195"/>
      <c r="I11" s="1"/>
      <c r="L11" s="190"/>
    </row>
    <row r="12" spans="1:13" ht="7.5" customHeight="1">
      <c r="C12" s="148"/>
      <c r="D12" s="182"/>
      <c r="E12" s="196"/>
      <c r="H12" s="185"/>
    </row>
    <row r="13" spans="1:13">
      <c r="A13" s="127"/>
      <c r="B13" s="197" t="s">
        <v>612</v>
      </c>
      <c r="H13" s="185"/>
    </row>
    <row r="14" spans="1:13">
      <c r="A14" s="127"/>
      <c r="B14" s="187" t="s">
        <v>613</v>
      </c>
      <c r="F14" s="528"/>
      <c r="H14" s="185"/>
    </row>
    <row r="15" spans="1:13" ht="30">
      <c r="B15" s="199"/>
      <c r="C15" s="200" t="s">
        <v>614</v>
      </c>
      <c r="D15" s="201" t="s">
        <v>615</v>
      </c>
      <c r="E15" s="974">
        <f>'A2.Allocation &amp; Operating Plan'!E24</f>
        <v>0</v>
      </c>
      <c r="F15" s="988"/>
      <c r="H15" s="185"/>
    </row>
    <row r="16" spans="1:13">
      <c r="B16" s="203"/>
      <c r="C16" s="194" t="s">
        <v>616</v>
      </c>
      <c r="D16" s="201" t="s">
        <v>617</v>
      </c>
      <c r="E16" s="974">
        <f>'A3. Peel Region Grants'!D70+'A3. Peel Region Grants'!D111</f>
        <v>0</v>
      </c>
      <c r="F16" s="989"/>
      <c r="H16" s="185"/>
    </row>
    <row r="17" spans="1:9" ht="7.5" customHeight="1">
      <c r="C17" s="148"/>
      <c r="D17" s="182"/>
      <c r="E17" s="196"/>
      <c r="F17" s="528"/>
      <c r="H17" s="185"/>
    </row>
    <row r="18" spans="1:9">
      <c r="A18" s="127"/>
      <c r="B18" s="187" t="s">
        <v>618</v>
      </c>
      <c r="F18" s="528"/>
      <c r="H18" s="185"/>
    </row>
    <row r="19" spans="1:9">
      <c r="A19" s="127"/>
      <c r="B19" s="187" t="s">
        <v>619</v>
      </c>
      <c r="H19" s="185"/>
    </row>
    <row r="20" spans="1:9">
      <c r="A20" s="127"/>
      <c r="B20" s="203"/>
      <c r="C20" s="135" t="s">
        <v>620</v>
      </c>
      <c r="D20" s="163" t="s">
        <v>621</v>
      </c>
      <c r="E20" s="975">
        <f>'A2.Allocation &amp; Operating Plan'!E13+'A2.Allocation &amp; Operating Plan'!E14+'A2.Allocation &amp; Operating Plan'!E15+'A2.Allocation &amp; Operating Plan'!E16+'A2.Allocation &amp; Operating Plan'!E17</f>
        <v>0</v>
      </c>
      <c r="F20" s="204"/>
    </row>
    <row r="21" spans="1:9">
      <c r="A21" s="127"/>
      <c r="B21" s="151"/>
      <c r="C21" s="206" t="s">
        <v>622</v>
      </c>
      <c r="D21" s="163" t="s">
        <v>623</v>
      </c>
      <c r="E21" s="975">
        <f>+'A2.Allocation &amp; Operating Plan'!E18</f>
        <v>0</v>
      </c>
      <c r="F21" s="204"/>
      <c r="G21" s="207"/>
      <c r="H21" s="207"/>
      <c r="I21" s="207"/>
    </row>
    <row r="22" spans="1:9">
      <c r="A22" s="127"/>
      <c r="B22" s="151"/>
      <c r="C22" s="206" t="s">
        <v>624</v>
      </c>
      <c r="D22" s="163" t="s">
        <v>625</v>
      </c>
      <c r="E22" s="975">
        <f>+'A2.Allocation &amp; Operating Plan'!E19</f>
        <v>0</v>
      </c>
      <c r="F22" s="204"/>
      <c r="G22" s="207"/>
      <c r="H22" s="207"/>
      <c r="I22" s="207"/>
    </row>
    <row r="23" spans="1:9">
      <c r="A23" s="127"/>
      <c r="B23" s="151"/>
      <c r="C23" s="208" t="s">
        <v>626</v>
      </c>
      <c r="D23" s="209"/>
      <c r="E23" s="210">
        <f>SUM(E20:E22)</f>
        <v>0</v>
      </c>
      <c r="F23" s="204"/>
      <c r="H23" s="1"/>
    </row>
    <row r="24" spans="1:9">
      <c r="B24" s="151"/>
      <c r="C24" s="206" t="s">
        <v>627</v>
      </c>
      <c r="D24" s="163" t="s">
        <v>628</v>
      </c>
      <c r="E24" s="975">
        <f>+'A2.Allocation &amp; Operating Plan'!E23</f>
        <v>0</v>
      </c>
      <c r="F24" s="204"/>
      <c r="H24" s="185"/>
    </row>
    <row r="25" spans="1:9">
      <c r="B25" s="151"/>
      <c r="C25" s="206" t="s">
        <v>629</v>
      </c>
      <c r="D25" s="163" t="s">
        <v>630</v>
      </c>
      <c r="E25" s="975">
        <f>'A2.Allocation &amp; Operating Plan'!E21</f>
        <v>0</v>
      </c>
      <c r="F25" s="211"/>
      <c r="H25" s="185"/>
    </row>
    <row r="26" spans="1:9">
      <c r="A26" s="127"/>
      <c r="B26" s="151"/>
      <c r="C26" s="208" t="s">
        <v>631</v>
      </c>
      <c r="D26" s="209"/>
      <c r="E26" s="210">
        <f>SUM(E23:E25)</f>
        <v>0</v>
      </c>
      <c r="F26" s="212"/>
      <c r="H26" s="185"/>
    </row>
    <row r="27" spans="1:9">
      <c r="A27" s="148"/>
      <c r="B27" s="151"/>
      <c r="C27" s="213" t="s">
        <v>632</v>
      </c>
      <c r="D27" s="163" t="s">
        <v>633</v>
      </c>
      <c r="E27" s="975">
        <f>E16</f>
        <v>0</v>
      </c>
      <c r="F27" s="204"/>
      <c r="H27" s="185"/>
    </row>
    <row r="28" spans="1:9" ht="7.5" customHeight="1">
      <c r="C28" s="148"/>
      <c r="D28" s="182"/>
      <c r="E28" s="196"/>
      <c r="H28" s="185"/>
    </row>
    <row r="29" spans="1:9">
      <c r="B29" s="214" t="s">
        <v>634</v>
      </c>
      <c r="E29" s="196"/>
      <c r="F29" s="215"/>
      <c r="H29" s="185"/>
    </row>
    <row r="30" spans="1:9">
      <c r="B30" s="187" t="s">
        <v>635</v>
      </c>
      <c r="E30" s="2"/>
      <c r="G30" s="216"/>
      <c r="H30" s="216"/>
    </row>
    <row r="31" spans="1:9">
      <c r="B31" s="157"/>
      <c r="C31" s="217" t="s">
        <v>636</v>
      </c>
      <c r="D31" s="218"/>
      <c r="E31" s="219">
        <f>'A11.SFR&amp; Attestation Site 1'!F73</f>
        <v>0</v>
      </c>
      <c r="F31" s="751"/>
      <c r="G31" s="216"/>
      <c r="H31" s="216"/>
    </row>
    <row r="32" spans="1:9" ht="19" customHeight="1">
      <c r="B32" s="157"/>
      <c r="C32" s="220" t="s">
        <v>637</v>
      </c>
      <c r="D32" s="221"/>
      <c r="E32" s="222">
        <f>ProgramCostsAllocation</f>
        <v>0</v>
      </c>
      <c r="F32" s="204"/>
      <c r="G32" s="216"/>
      <c r="H32" s="216"/>
    </row>
    <row r="33" spans="1:8">
      <c r="B33" s="203"/>
      <c r="C33" s="223" t="s">
        <v>638</v>
      </c>
      <c r="D33" s="163" t="s">
        <v>639</v>
      </c>
      <c r="E33" s="224">
        <f>MIN(E31,E32)</f>
        <v>0</v>
      </c>
      <c r="F33" s="204"/>
      <c r="G33" s="216"/>
      <c r="H33" s="216"/>
    </row>
    <row r="34" spans="1:8" ht="7.5" customHeight="1">
      <c r="C34" s="148"/>
      <c r="D34" s="182"/>
      <c r="E34" s="196"/>
      <c r="H34" s="185"/>
    </row>
    <row r="35" spans="1:8">
      <c r="B35" s="214" t="s">
        <v>640</v>
      </c>
      <c r="C35" s="148"/>
      <c r="D35" s="182"/>
      <c r="E35" s="196"/>
      <c r="G35" s="216"/>
      <c r="H35" s="216"/>
    </row>
    <row r="36" spans="1:8">
      <c r="B36" s="187" t="s">
        <v>641</v>
      </c>
      <c r="E36" s="196"/>
      <c r="G36" s="216"/>
      <c r="H36" s="216"/>
    </row>
    <row r="37" spans="1:8" s="134" customFormat="1">
      <c r="C37" s="220" t="s">
        <v>642</v>
      </c>
      <c r="D37" s="221"/>
      <c r="E37" s="225">
        <f>4.25%*ActualProgramCosts</f>
        <v>0</v>
      </c>
      <c r="F37" s="212"/>
      <c r="G37" s="226"/>
      <c r="H37" s="226"/>
    </row>
    <row r="38" spans="1:8" s="134" customFormat="1" ht="30">
      <c r="C38" s="220" t="s">
        <v>643</v>
      </c>
      <c r="D38" s="221"/>
      <c r="E38" s="225">
        <f>3.5%*MIN(ActualProgramCosts,BenchmarkAllocation)</f>
        <v>0</v>
      </c>
      <c r="F38" s="204"/>
      <c r="G38" s="226"/>
      <c r="H38" s="226"/>
    </row>
    <row r="39" spans="1:8" s="134" customFormat="1" ht="30">
      <c r="C39" s="220" t="s">
        <v>644</v>
      </c>
      <c r="D39" s="221"/>
      <c r="E39" s="227">
        <f>'A6a. Operations-Site 1'!D192</f>
        <v>6000</v>
      </c>
      <c r="F39" s="228"/>
      <c r="G39" s="229"/>
      <c r="H39" s="229"/>
    </row>
    <row r="40" spans="1:8">
      <c r="B40" s="230"/>
      <c r="C40" s="231" t="s">
        <v>645</v>
      </c>
      <c r="D40" s="163" t="s">
        <v>646</v>
      </c>
      <c r="E40" s="232">
        <f>ROUND(SUM(E37:E39),0)</f>
        <v>6000</v>
      </c>
      <c r="F40" s="204"/>
      <c r="G40" s="233"/>
      <c r="H40" s="233"/>
    </row>
    <row r="41" spans="1:8" ht="7.5" customHeight="1">
      <c r="C41" s="148"/>
      <c r="D41" s="182"/>
      <c r="E41" s="196"/>
      <c r="H41" s="185"/>
    </row>
    <row r="42" spans="1:8">
      <c r="B42" s="214" t="s">
        <v>647</v>
      </c>
      <c r="C42" s="148"/>
      <c r="D42" s="182"/>
      <c r="E42" s="196"/>
      <c r="H42" s="185"/>
    </row>
    <row r="43" spans="1:8">
      <c r="B43" s="187" t="s">
        <v>648</v>
      </c>
      <c r="E43" s="2"/>
      <c r="H43" s="185"/>
    </row>
    <row r="44" spans="1:8">
      <c r="B44" s="234"/>
      <c r="C44" s="1" t="s">
        <v>649</v>
      </c>
      <c r="E44" s="235">
        <f>'A11.SFR&amp; Attestation Site 1'!F32</f>
        <v>0</v>
      </c>
      <c r="F44" s="204"/>
      <c r="H44" s="185"/>
    </row>
    <row r="45" spans="1:8">
      <c r="B45" s="234"/>
      <c r="C45" s="1" t="s">
        <v>650</v>
      </c>
      <c r="E45" s="235">
        <f>'A11.SFR&amp; Attestation Site 1'!F33</f>
        <v>0</v>
      </c>
      <c r="F45" s="204"/>
      <c r="H45" s="185"/>
    </row>
    <row r="46" spans="1:8">
      <c r="B46" s="234"/>
      <c r="C46" s="1" t="s">
        <v>651</v>
      </c>
      <c r="E46" s="235">
        <f>-E25</f>
        <v>0</v>
      </c>
      <c r="F46" s="236"/>
      <c r="H46" s="185"/>
    </row>
    <row r="47" spans="1:8">
      <c r="A47" s="148"/>
      <c r="B47" s="203"/>
      <c r="C47" s="231" t="s">
        <v>652</v>
      </c>
      <c r="D47" s="163" t="s">
        <v>653</v>
      </c>
      <c r="E47" s="232">
        <f>MAX(E46,E44+E45)</f>
        <v>0</v>
      </c>
      <c r="F47" s="204"/>
      <c r="H47" s="185"/>
    </row>
    <row r="48" spans="1:8" ht="7.5" customHeight="1">
      <c r="C48" s="148"/>
      <c r="D48" s="182"/>
      <c r="E48" s="196"/>
      <c r="H48" s="185"/>
    </row>
    <row r="49" spans="1:8">
      <c r="A49" s="148"/>
      <c r="B49" s="214" t="s">
        <v>654</v>
      </c>
      <c r="C49" s="148"/>
      <c r="D49" s="182"/>
      <c r="E49" s="237"/>
      <c r="H49" s="185"/>
    </row>
    <row r="50" spans="1:8">
      <c r="A50" s="148"/>
      <c r="B50" s="187" t="s">
        <v>655</v>
      </c>
      <c r="C50" s="148"/>
      <c r="D50" s="182"/>
      <c r="E50" s="237"/>
      <c r="H50" s="185"/>
    </row>
    <row r="51" spans="1:8">
      <c r="A51" s="148"/>
      <c r="B51" s="214"/>
      <c r="C51" s="1" t="s">
        <v>533</v>
      </c>
      <c r="E51" s="222">
        <f>+E33</f>
        <v>0</v>
      </c>
      <c r="F51" s="204"/>
      <c r="H51" s="185"/>
    </row>
    <row r="52" spans="1:8">
      <c r="A52" s="148"/>
      <c r="B52" s="214"/>
      <c r="C52" s="1" t="s">
        <v>656</v>
      </c>
      <c r="E52" s="222">
        <f>+E40</f>
        <v>6000</v>
      </c>
      <c r="F52" s="204"/>
      <c r="H52" s="185"/>
    </row>
    <row r="53" spans="1:8">
      <c r="A53" s="148"/>
      <c r="B53" s="214"/>
      <c r="C53" s="1" t="s">
        <v>657</v>
      </c>
      <c r="E53" s="235">
        <f>-E47</f>
        <v>0</v>
      </c>
      <c r="F53" s="236"/>
      <c r="H53" s="185"/>
    </row>
    <row r="54" spans="1:8">
      <c r="B54" s="203"/>
      <c r="C54" s="231" t="s">
        <v>658</v>
      </c>
      <c r="D54" s="163" t="s">
        <v>659</v>
      </c>
      <c r="E54" s="232">
        <f>SUM(E51:E53)</f>
        <v>6000</v>
      </c>
      <c r="F54" s="204"/>
      <c r="H54" s="185"/>
    </row>
    <row r="55" spans="1:8" ht="7.5" customHeight="1">
      <c r="C55" s="148"/>
      <c r="D55" s="182"/>
      <c r="E55" s="196"/>
      <c r="H55" s="185"/>
    </row>
    <row r="56" spans="1:8">
      <c r="A56" s="148"/>
      <c r="B56" s="238" t="s">
        <v>660</v>
      </c>
      <c r="C56" s="239"/>
      <c r="D56" s="240"/>
      <c r="E56" s="202"/>
      <c r="H56" s="185"/>
    </row>
    <row r="57" spans="1:8">
      <c r="A57" s="148"/>
      <c r="B57" s="187" t="s">
        <v>661</v>
      </c>
      <c r="C57" s="239"/>
      <c r="D57" s="240"/>
      <c r="E57" s="241"/>
      <c r="H57" s="185"/>
    </row>
    <row r="58" spans="1:8">
      <c r="C58" s="242" t="s">
        <v>662</v>
      </c>
      <c r="E58" s="222">
        <f>+E15</f>
        <v>0</v>
      </c>
      <c r="F58" s="204"/>
      <c r="H58" s="185"/>
    </row>
    <row r="59" spans="1:8">
      <c r="B59" s="203"/>
      <c r="C59" s="242" t="s">
        <v>663</v>
      </c>
      <c r="E59" s="222">
        <f>+E54</f>
        <v>6000</v>
      </c>
      <c r="F59" s="204"/>
      <c r="H59" s="185"/>
    </row>
    <row r="60" spans="1:8">
      <c r="B60" s="203"/>
      <c r="C60" s="231" t="str" cm="1">
        <f t="array" ref="C60">+_xlfn.IFS(E60=0,"= No amount due", E60&lt;0,"= Payable to the licensee in respect Actual Cost-Based Funding", 1,"= Overpayment. Amount payable to the CMSM/DSSAB in respect of Actual Cost-Based Funding")</f>
        <v>= Payable to the licensee in respect Actual Cost-Based Funding</v>
      </c>
      <c r="D60" s="163" t="s">
        <v>664</v>
      </c>
      <c r="E60" s="232">
        <f>ROUND(E58-E59,2)</f>
        <v>-6000</v>
      </c>
      <c r="F60" s="204"/>
      <c r="G60" s="202"/>
      <c r="H60" s="185"/>
    </row>
    <row r="61" spans="1:8" ht="12.75" customHeight="1">
      <c r="C61" s="148"/>
      <c r="D61" s="182"/>
      <c r="E61" s="196"/>
      <c r="H61" s="185"/>
    </row>
    <row r="62" spans="1:8" ht="15.75" customHeight="1">
      <c r="A62" s="148"/>
      <c r="B62" s="187" t="s">
        <v>665</v>
      </c>
      <c r="C62" s="239"/>
      <c r="D62" s="240"/>
      <c r="E62" s="241"/>
      <c r="F62" s="1212" t="str">
        <f>IF('A3. Peel Region Grants'!I76&gt;0,"Deferred revenue and amount spent being added as spent until recon completed."," ")</f>
        <v xml:space="preserve"> </v>
      </c>
      <c r="H62" s="185"/>
    </row>
    <row r="63" spans="1:8" ht="15.75" customHeight="1">
      <c r="B63" s="243"/>
      <c r="C63" s="185" t="s">
        <v>666</v>
      </c>
      <c r="D63" s="244"/>
      <c r="E63" s="222">
        <f>'A11.SFR&amp; Attestation Site 1'!F75</f>
        <v>0</v>
      </c>
      <c r="F63" s="1212"/>
      <c r="H63" s="156"/>
    </row>
    <row r="64" spans="1:8">
      <c r="A64" s="148"/>
      <c r="B64" s="245"/>
      <c r="C64" s="185" t="s">
        <v>667</v>
      </c>
      <c r="D64" s="244"/>
      <c r="E64" s="222">
        <f>+E27</f>
        <v>0</v>
      </c>
      <c r="F64" s="1212"/>
      <c r="H64" s="246"/>
    </row>
    <row r="65" spans="1:8">
      <c r="B65" s="160"/>
      <c r="C65" s="247" t="s">
        <v>668</v>
      </c>
      <c r="D65" s="163" t="s">
        <v>669</v>
      </c>
      <c r="E65" s="248">
        <f>MIN(E64,E63)</f>
        <v>0</v>
      </c>
      <c r="F65" s="1212"/>
      <c r="H65" s="156"/>
    </row>
    <row r="66" spans="1:8">
      <c r="B66" s="249"/>
      <c r="C66" s="194" t="s">
        <v>670</v>
      </c>
      <c r="D66" s="244"/>
      <c r="E66" s="222">
        <f>+E16</f>
        <v>0</v>
      </c>
      <c r="F66" s="1212"/>
      <c r="H66" s="246"/>
    </row>
    <row r="67" spans="1:8">
      <c r="B67" s="251"/>
      <c r="C67" s="252" t="str" cm="1">
        <f t="array" ref="C67">+_xlfn.IFS(E67=0,"= No amount due",E67&lt;0,"= Payable to the licensee in respect Actual Cost-Based Funding",1, "= Overpayment. Amount payable to the CMSM/DSSAB in respect of one-time, unexpected cost")</f>
        <v>= No amount due</v>
      </c>
      <c r="D67" s="163" t="s">
        <v>671</v>
      </c>
      <c r="E67" s="232">
        <f>+E66-E65</f>
        <v>0</v>
      </c>
      <c r="F67" s="250"/>
      <c r="G67" s="202"/>
      <c r="H67" s="210"/>
    </row>
    <row r="68" spans="1:8">
      <c r="B68" s="251"/>
      <c r="D68" s="527"/>
      <c r="E68" s="1"/>
      <c r="F68" s="250"/>
      <c r="G68" s="202"/>
      <c r="H68" s="210"/>
    </row>
    <row r="69" spans="1:8" ht="16.5" customHeight="1">
      <c r="C69" s="148"/>
      <c r="D69" s="182"/>
      <c r="E69" s="196"/>
      <c r="H69" s="185"/>
    </row>
    <row r="70" spans="1:8">
      <c r="A70" s="148"/>
      <c r="B70" s="187" t="s">
        <v>672</v>
      </c>
      <c r="C70" s="239"/>
      <c r="D70" s="240"/>
      <c r="E70" s="241"/>
      <c r="H70" s="185"/>
    </row>
    <row r="71" spans="1:8" ht="20">
      <c r="C71" s="253" t="str" cm="1">
        <f t="array" ref="C71">+_xlfn.IFS(E60=0,"= No amount due",E60&lt;0,"= Payable to the licensee",1,"= Overpayment payable to the CMSM/DSSAB")</f>
        <v>= Payable to the licensee</v>
      </c>
      <c r="D71" s="254"/>
      <c r="E71" s="255">
        <f>ROUND(IF(SUM(E15:E16,E20:E22,E24:E25,E27)=0,0,E60+E67),2)</f>
        <v>0</v>
      </c>
      <c r="F71" s="256"/>
    </row>
    <row r="72" spans="1:8" ht="18" customHeight="1">
      <c r="C72" s="148"/>
      <c r="D72" s="182"/>
      <c r="E72" s="196"/>
      <c r="H72" s="185"/>
    </row>
    <row r="73" spans="1:8">
      <c r="A73" s="148"/>
      <c r="B73" s="238" t="s">
        <v>673</v>
      </c>
      <c r="C73" s="257"/>
      <c r="D73" s="258"/>
      <c r="E73" s="259"/>
      <c r="G73" s="217"/>
      <c r="H73" s="185"/>
    </row>
    <row r="74" spans="1:8">
      <c r="A74" s="148"/>
      <c r="B74" s="187" t="s">
        <v>674</v>
      </c>
      <c r="C74" s="257"/>
      <c r="D74" s="258"/>
      <c r="E74" s="259"/>
      <c r="G74" s="217"/>
      <c r="H74" s="185"/>
    </row>
    <row r="75" spans="1:8">
      <c r="A75" s="148"/>
      <c r="B75" s="238"/>
      <c r="C75" s="242" t="s">
        <v>675</v>
      </c>
      <c r="D75" s="258"/>
      <c r="E75" s="260">
        <f>+ActualProgramCosts</f>
        <v>0</v>
      </c>
      <c r="G75" s="217"/>
      <c r="H75" s="185"/>
    </row>
    <row r="76" spans="1:8">
      <c r="A76" s="148"/>
      <c r="B76" s="238"/>
      <c r="C76" s="242" t="str">
        <f>+C20</f>
        <v>Benchmark Allocation</v>
      </c>
      <c r="D76" s="258"/>
      <c r="E76" s="260">
        <f>+BenchmarkAllocation</f>
        <v>0</v>
      </c>
      <c r="G76" s="217"/>
      <c r="H76" s="185"/>
    </row>
    <row r="77" spans="1:8">
      <c r="A77" s="127" t="s">
        <v>834</v>
      </c>
      <c r="B77" s="261"/>
      <c r="C77" s="262" t="s">
        <v>736</v>
      </c>
      <c r="D77" s="163" t="s">
        <v>676</v>
      </c>
      <c r="E77" s="263" t="e" cm="1">
        <f t="array" ref="E77">_xlfn.IFS(BenchmarkAllocation="","",ActualProgramCosts-BenchmarkAllocation&lt;0,0,1,ROUND((ActualProgramCosts-BenchmarkAllocation)/BenchmarkAllocation,4))</f>
        <v>#DIV/0!</v>
      </c>
      <c r="F77" s="264"/>
      <c r="G77" s="265"/>
      <c r="H77" s="266"/>
    </row>
    <row r="78" spans="1:8" ht="7.5" customHeight="1">
      <c r="C78" s="148"/>
      <c r="D78" s="182"/>
      <c r="E78" s="196"/>
      <c r="H78" s="185"/>
    </row>
    <row r="79" spans="1:8">
      <c r="B79" s="187" t="s">
        <v>677</v>
      </c>
      <c r="D79" s="267" t="s">
        <v>678</v>
      </c>
      <c r="E79" s="268"/>
      <c r="F79" s="528"/>
    </row>
    <row r="80" spans="1:8"/>
    <row r="81"/>
    <row r="82"/>
    <row r="83"/>
    <row r="94"/>
    <row r="95"/>
    <row r="96"/>
    <row r="97"/>
    <row r="98"/>
    <row r="99"/>
    <row r="106"/>
    <row r="107"/>
    <row r="108"/>
    <row r="109"/>
    <row r="110"/>
    <row r="111"/>
    <row r="112"/>
    <row r="113"/>
    <row r="114"/>
  </sheetData>
  <sheetProtection algorithmName="SHA-512" hashValue="60zTesdS01EPak7N0oA8q2Z8lsndzckPqD+SUROdzU4fGuzkI1bRmJyb74e2biG8CJlDvCVy5NERYcM0tBV0vA==" saltValue="UULNjawiDpuGkObItwvcjA==" spinCount="100000" sheet="1" objects="1" scenarios="1"/>
  <mergeCells count="2">
    <mergeCell ref="A1:I1"/>
    <mergeCell ref="F62:F66"/>
  </mergeCells>
  <conditionalFormatting sqref="E8:E11 G8:H11">
    <cfRule type="cellIs" dxfId="109" priority="3" operator="notEqual">
      <formula>""</formula>
    </cfRule>
  </conditionalFormatting>
  <conditionalFormatting sqref="E15:E16">
    <cfRule type="notContainsBlanks" dxfId="108" priority="1">
      <formula>LEN(TRIM(E15))&gt;0</formula>
    </cfRule>
  </conditionalFormatting>
  <conditionalFormatting sqref="E20:E22 E24:E25 E27">
    <cfRule type="notContainsBlanks" dxfId="107" priority="4">
      <formula>LEN(TRIM(E20))&gt;0</formula>
    </cfRule>
  </conditionalFormatting>
  <conditionalFormatting sqref="E79">
    <cfRule type="cellIs" dxfId="106" priority="2" operator="notEqual">
      <formula>""</formula>
    </cfRule>
  </conditionalFormatting>
  <dataValidations count="4">
    <dataValidation type="date" operator="greaterThanOrEqual" allowBlank="1" showInputMessage="1" showErrorMessage="1" error="Must be a date not earlier than today's date" sqref="E79" xr:uid="{31CF96B9-0AA4-48A8-98FB-0B9FD1F65A20}">
      <formula1>TODAY()</formula1>
    </dataValidation>
    <dataValidation type="decimal" operator="lessThan" allowBlank="1" showInputMessage="1" showErrorMessage="1" error="Must be an amount less than 0." sqref="E25" xr:uid="{7A40EAD3-4978-4EF4-9AB0-5675ECF1073B}">
      <formula1>0</formula1>
    </dataValidation>
    <dataValidation type="decimal" operator="greaterThan" allowBlank="1" showInputMessage="1" showErrorMessage="1" error="Must be an amount greater than 0." sqref="E15 E20:E22 E24" xr:uid="{F189BFD0-0563-43DA-8AEB-53043AB91554}">
      <formula1>0</formula1>
    </dataValidation>
    <dataValidation type="decimal" operator="greaterThanOrEqual" allowBlank="1" showInputMessage="1" showErrorMessage="1" error="Must be an amount greater than or equal to 0." sqref="E27 E16" xr:uid="{0417A164-031C-4C3B-83A2-C236B16AEDCC}">
      <formula1>0</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83A53-E13C-4509-87A7-2D2850CBF784}">
  <sheetPr>
    <tabColor theme="9" tint="0.59999389629810485"/>
  </sheetPr>
  <dimension ref="B1:XEN200"/>
  <sheetViews>
    <sheetView showGridLines="0" zoomScale="85" zoomScaleNormal="85" workbookViewId="0">
      <selection activeCell="F9" sqref="F9"/>
    </sheetView>
  </sheetViews>
  <sheetFormatPr defaultColWidth="9.1796875" defaultRowHeight="15.5" outlineLevelRow="1"/>
  <cols>
    <col min="1" max="1" width="3.453125" style="9" customWidth="1"/>
    <col min="2" max="2" width="86.7265625" style="9" customWidth="1"/>
    <col min="3" max="3" width="12.26953125" style="9" customWidth="1"/>
    <col min="4" max="4" width="20.7265625" style="9" customWidth="1"/>
    <col min="5" max="5" width="23" style="9" customWidth="1"/>
    <col min="6" max="6" width="23.7265625" style="9" customWidth="1"/>
    <col min="7" max="7" width="6.7265625" style="9" customWidth="1"/>
    <col min="8" max="8" width="74.453125" style="9" customWidth="1"/>
    <col min="9" max="9" width="9.453125" style="9" customWidth="1"/>
    <col min="10" max="10" width="9.1796875" style="9"/>
    <col min="11" max="11" width="17.54296875" style="9" customWidth="1"/>
    <col min="12" max="16384" width="9.1796875" style="9"/>
  </cols>
  <sheetData>
    <row r="1" spans="2:12 16363:16368" ht="21" customHeight="1">
      <c r="B1" s="1180" t="str">
        <f>IF('A1. Identification'!D7=0, "2025 FAIR, CWELCC and OTEF Reconciliation for Multi Site Operators",'A1. Identification'!D7)</f>
        <v>2025 FAIR, CWELCC and OTEF Reconciliation for Multi Site Operators</v>
      </c>
      <c r="C1" s="1181"/>
      <c r="D1" s="1181"/>
      <c r="E1" s="1181"/>
      <c r="F1" s="1181"/>
      <c r="G1" s="443"/>
      <c r="K1" s="109" t="s">
        <v>109</v>
      </c>
      <c r="L1" s="110" t="str">
        <f>IF('A1. Identification'!$D$13=0, " ",'A1. Identification'!$D$13)</f>
        <v xml:space="preserve"> </v>
      </c>
    </row>
    <row r="2" spans="2:12 16363:16368" ht="19" customHeight="1">
      <c r="B2" s="1182" t="str">
        <f>IF('A1. Identification'!B6=0, " ", "Statement of Operations / Income Statement of "&amp; 'A2.Allocation &amp; Operating Plan'!$C$59)</f>
        <v xml:space="preserve">Statement of Operations / Income Statement of  </v>
      </c>
      <c r="C2" s="1091"/>
      <c r="D2" s="1091"/>
      <c r="E2" s="1091"/>
      <c r="F2" s="1091"/>
      <c r="G2" s="444"/>
      <c r="K2" s="109" t="s">
        <v>301</v>
      </c>
      <c r="L2" s="110">
        <f>F7</f>
        <v>0</v>
      </c>
    </row>
    <row r="3" spans="2:12 16363:16368" ht="17.5" customHeight="1" thickBot="1">
      <c r="B3" s="1183" t="s">
        <v>954</v>
      </c>
      <c r="C3" s="1184"/>
      <c r="D3" s="1184"/>
      <c r="E3" s="1184"/>
      <c r="F3" s="1184"/>
      <c r="G3" s="1185"/>
      <c r="H3" s="14"/>
    </row>
    <row r="4" spans="2:12 16363:16368" s="445" customFormat="1" ht="10.5" customHeight="1"/>
    <row r="5" spans="2:12 16363:16368" s="445" customFormat="1" ht="7.5" customHeight="1">
      <c r="B5" s="446"/>
    </row>
    <row r="6" spans="2:12 16363:16368" ht="21.75" customHeight="1" thickBot="1">
      <c r="B6" s="447" t="s">
        <v>852</v>
      </c>
    </row>
    <row r="7" spans="2:12 16363:16368">
      <c r="B7" s="448" t="s">
        <v>724</v>
      </c>
      <c r="C7" s="449"/>
      <c r="D7" s="449"/>
      <c r="E7" s="449"/>
      <c r="F7" s="912">
        <f>'A2.Allocation &amp; Operating Plan'!F10</f>
        <v>0</v>
      </c>
      <c r="G7" s="106" t="s">
        <v>772</v>
      </c>
      <c r="H7" s="14"/>
    </row>
    <row r="8" spans="2:12 16363:16368">
      <c r="B8" s="78" t="s">
        <v>725</v>
      </c>
      <c r="F8" s="912">
        <f>'A2.Allocation &amp; Operating Plan'!F11</f>
        <v>0</v>
      </c>
      <c r="G8" s="106" t="s">
        <v>773</v>
      </c>
      <c r="H8" s="14"/>
    </row>
    <row r="9" spans="2:12 16363:16368">
      <c r="B9" s="78" t="s">
        <v>727</v>
      </c>
      <c r="F9" s="285"/>
      <c r="G9" s="106" t="s">
        <v>774</v>
      </c>
      <c r="H9" s="1186" t="s">
        <v>898</v>
      </c>
      <c r="I9" s="1187"/>
      <c r="XEI9" s="525" t="s">
        <v>309</v>
      </c>
      <c r="XEJ9" s="525"/>
      <c r="XEK9" s="525" t="s">
        <v>398</v>
      </c>
      <c r="XEL9" s="525"/>
      <c r="XEM9" s="525" t="s">
        <v>130</v>
      </c>
      <c r="XEN9" s="525" t="s">
        <v>305</v>
      </c>
    </row>
    <row r="10" spans="2:12 16363:16368" ht="15.5" customHeight="1">
      <c r="B10" s="78" t="s">
        <v>304</v>
      </c>
      <c r="F10" s="912">
        <f>'A2.Allocation &amp; Operating Plan'!I59</f>
        <v>0</v>
      </c>
      <c r="G10" s="106" t="s">
        <v>775</v>
      </c>
      <c r="H10" s="1186"/>
      <c r="I10" s="1187"/>
      <c r="XEI10" s="525" t="s">
        <v>310</v>
      </c>
      <c r="XEJ10" s="525"/>
      <c r="XEK10" s="525" t="s">
        <v>400</v>
      </c>
      <c r="XEL10" s="525"/>
      <c r="XEM10" s="525" t="s">
        <v>115</v>
      </c>
      <c r="XEN10" s="525" t="s">
        <v>307</v>
      </c>
    </row>
    <row r="11" spans="2:12 16363:16368" ht="15.5" customHeight="1">
      <c r="B11" s="78" t="s">
        <v>959</v>
      </c>
      <c r="C11" s="133"/>
      <c r="F11" s="284"/>
      <c r="G11" s="106" t="s">
        <v>776</v>
      </c>
      <c r="H11" s="1186"/>
      <c r="I11" s="1187"/>
      <c r="XEI11" s="525" t="s">
        <v>311</v>
      </c>
      <c r="XEJ11" s="525"/>
      <c r="XEK11" s="525" t="s">
        <v>399</v>
      </c>
      <c r="XEL11" s="525"/>
      <c r="XEM11" s="525"/>
      <c r="XEN11" s="525" t="s">
        <v>308</v>
      </c>
    </row>
    <row r="12" spans="2:12 16363:16368" ht="16" thickBot="1">
      <c r="B12" s="78" t="s">
        <v>392</v>
      </c>
      <c r="C12" s="14"/>
      <c r="D12" s="14"/>
      <c r="F12" s="436"/>
      <c r="G12" s="106" t="s">
        <v>777</v>
      </c>
      <c r="H12" s="1188"/>
      <c r="I12" s="1189"/>
      <c r="XEI12" s="525"/>
      <c r="XEJ12" s="525"/>
      <c r="XEK12" s="525" t="s">
        <v>91</v>
      </c>
      <c r="XEL12" s="525"/>
      <c r="XEM12" s="525"/>
      <c r="XEN12" s="525" t="s">
        <v>334</v>
      </c>
    </row>
    <row r="13" spans="2:12 16363:16368">
      <c r="B13" s="78" t="s">
        <v>835</v>
      </c>
      <c r="C13" s="14"/>
      <c r="D13" s="14"/>
      <c r="F13" s="436"/>
      <c r="G13" s="106" t="s">
        <v>778</v>
      </c>
      <c r="H13" s="866"/>
      <c r="I13" s="116" t="s">
        <v>860</v>
      </c>
      <c r="XEI13" s="525"/>
      <c r="XEJ13" s="525"/>
      <c r="XEK13" s="525"/>
      <c r="XEL13" s="525"/>
      <c r="XEM13" s="525"/>
      <c r="XEN13" s="525" t="s">
        <v>91</v>
      </c>
    </row>
    <row r="14" spans="2:12 16363:16368">
      <c r="B14" s="78" t="s">
        <v>897</v>
      </c>
      <c r="C14" s="14"/>
      <c r="D14" s="14"/>
      <c r="F14" s="436"/>
      <c r="G14" s="106" t="s">
        <v>779</v>
      </c>
      <c r="H14" s="867"/>
      <c r="I14" s="106" t="s">
        <v>895</v>
      </c>
    </row>
    <row r="15" spans="2:12 16363:16368" ht="16" thickBot="1">
      <c r="B15" s="450" t="s">
        <v>306</v>
      </c>
      <c r="C15" s="17"/>
      <c r="D15" s="451"/>
      <c r="E15" s="1190"/>
      <c r="F15" s="1191"/>
      <c r="G15" s="107" t="s">
        <v>859</v>
      </c>
      <c r="H15" s="868"/>
      <c r="I15" s="107" t="s">
        <v>896</v>
      </c>
    </row>
    <row r="16" spans="2:12 16363:16368" s="14" customFormat="1" ht="16" thickBot="1">
      <c r="G16" s="9"/>
      <c r="XEN16" s="9"/>
    </row>
    <row r="17" spans="2:8" ht="31.5" thickBot="1">
      <c r="B17" s="452" t="s">
        <v>175</v>
      </c>
      <c r="C17" s="65"/>
      <c r="D17" s="453" t="s">
        <v>172</v>
      </c>
      <c r="E17" s="454" t="s">
        <v>312</v>
      </c>
      <c r="F17" s="455" t="s">
        <v>313</v>
      </c>
      <c r="H17" s="86"/>
    </row>
    <row r="18" spans="2:8" ht="15.75" customHeight="1">
      <c r="B18" s="456" t="s">
        <v>422</v>
      </c>
      <c r="C18" s="457">
        <v>301</v>
      </c>
      <c r="D18" s="458">
        <f>E197-E187</f>
        <v>0</v>
      </c>
      <c r="E18" s="459">
        <f>D18</f>
        <v>0</v>
      </c>
      <c r="F18" s="460"/>
      <c r="H18" s="1192" t="s">
        <v>737</v>
      </c>
    </row>
    <row r="19" spans="2:8" ht="16" thickBot="1">
      <c r="B19" s="20" t="s">
        <v>819</v>
      </c>
      <c r="C19" s="461">
        <v>302</v>
      </c>
      <c r="D19" s="462">
        <f>E187</f>
        <v>0</v>
      </c>
      <c r="E19" s="463">
        <f>+D19</f>
        <v>0</v>
      </c>
      <c r="F19" s="464"/>
      <c r="H19" s="1193"/>
    </row>
    <row r="20" spans="2:8">
      <c r="B20" s="20" t="s">
        <v>836</v>
      </c>
      <c r="C20" s="461">
        <v>303</v>
      </c>
      <c r="D20" s="101"/>
      <c r="E20" s="27"/>
      <c r="F20" s="465">
        <f>+D20-E20</f>
        <v>0</v>
      </c>
      <c r="H20" s="117" t="str">
        <f>IF(AND(ISNUMBER(D20), ISBLANK(E20)), "Error: Missing 0-6 amount", "")</f>
        <v/>
      </c>
    </row>
    <row r="21" spans="2:8">
      <c r="B21" s="20" t="s">
        <v>820</v>
      </c>
      <c r="C21" s="461">
        <v>304</v>
      </c>
      <c r="D21" s="101"/>
      <c r="E21" s="101"/>
      <c r="F21" s="465">
        <f>+D21-E21</f>
        <v>0</v>
      </c>
      <c r="H21" s="117" t="str">
        <f>IF(AND(ISNUMBER(D21), ISBLANK(E21)), "Error: Missing 0-6 amount", "")</f>
        <v/>
      </c>
    </row>
    <row r="22" spans="2:8">
      <c r="B22" s="20" t="s">
        <v>423</v>
      </c>
      <c r="C22" s="461">
        <v>305</v>
      </c>
      <c r="D22" s="101"/>
      <c r="E22" s="466"/>
      <c r="F22" s="462">
        <f>D22</f>
        <v>0</v>
      </c>
    </row>
    <row r="23" spans="2:8" s="467" customFormat="1">
      <c r="B23" s="20" t="s">
        <v>385</v>
      </c>
      <c r="C23" s="461">
        <v>306</v>
      </c>
      <c r="D23" s="101"/>
      <c r="E23" s="463">
        <f>D23</f>
        <v>0</v>
      </c>
      <c r="F23" s="464"/>
    </row>
    <row r="24" spans="2:8">
      <c r="B24" s="20" t="s">
        <v>383</v>
      </c>
      <c r="C24" s="461">
        <v>307</v>
      </c>
      <c r="D24" s="101"/>
      <c r="E24" s="27"/>
      <c r="F24" s="465">
        <f>D24-E24</f>
        <v>0</v>
      </c>
      <c r="H24" s="555" t="s">
        <v>881</v>
      </c>
    </row>
    <row r="25" spans="2:8">
      <c r="B25" s="20" t="s">
        <v>808</v>
      </c>
      <c r="C25" s="461">
        <v>308</v>
      </c>
      <c r="D25" s="462">
        <f>'A3. Peel Region Grants'!E117</f>
        <v>0</v>
      </c>
      <c r="E25" s="463">
        <f>D25</f>
        <v>0</v>
      </c>
      <c r="F25" s="465">
        <f>D25-E25</f>
        <v>0</v>
      </c>
      <c r="H25" s="555" t="s">
        <v>881</v>
      </c>
    </row>
    <row r="26" spans="2:8" ht="15.75" hidden="1" customHeight="1">
      <c r="B26" s="20" t="s">
        <v>239</v>
      </c>
      <c r="C26" s="461">
        <v>309</v>
      </c>
      <c r="D26" s="929"/>
      <c r="E26" s="463"/>
      <c r="F26" s="465">
        <f>D26-E26</f>
        <v>0</v>
      </c>
      <c r="H26" s="12" t="s">
        <v>283</v>
      </c>
    </row>
    <row r="27" spans="2:8">
      <c r="B27" s="20" t="s">
        <v>809</v>
      </c>
      <c r="C27" s="461">
        <v>309</v>
      </c>
      <c r="D27" s="101"/>
      <c r="E27" s="27"/>
      <c r="F27" s="465">
        <f>D27-E27</f>
        <v>0</v>
      </c>
      <c r="H27" s="555" t="s">
        <v>881</v>
      </c>
    </row>
    <row r="28" spans="2:8">
      <c r="B28" s="419" t="s">
        <v>855</v>
      </c>
      <c r="C28" s="461">
        <v>310</v>
      </c>
      <c r="D28" s="101"/>
      <c r="E28" s="27"/>
      <c r="F28" s="465">
        <f>+D28-E28</f>
        <v>0</v>
      </c>
      <c r="H28" s="117" t="str">
        <f>IF(AND(ISNUMBER(D28), ISBLANK(E28)), "Error: Missing 0-6 amount", "")</f>
        <v/>
      </c>
    </row>
    <row r="29" spans="2:8">
      <c r="B29" s="419" t="s">
        <v>856</v>
      </c>
      <c r="C29" s="461">
        <v>311</v>
      </c>
      <c r="D29" s="101"/>
      <c r="E29" s="27"/>
      <c r="F29" s="465">
        <f>+D29-E29</f>
        <v>0</v>
      </c>
      <c r="H29" s="117" t="str">
        <f>IF(AND(ISNUMBER(D29), ISBLANK(E29)), "Error: Missing 0-6 amount", "")</f>
        <v/>
      </c>
    </row>
    <row r="30" spans="2:8" ht="16.5" customHeight="1" thickBot="1">
      <c r="B30" s="469" t="s">
        <v>176</v>
      </c>
      <c r="C30" s="470">
        <v>312</v>
      </c>
      <c r="D30" s="471">
        <f>SUM(D18:D29)</f>
        <v>0</v>
      </c>
      <c r="E30" s="472">
        <f>SUM(E18:E29)</f>
        <v>0</v>
      </c>
      <c r="F30" s="471">
        <f>SUM(F18:F29)</f>
        <v>0</v>
      </c>
      <c r="H30" s="513"/>
    </row>
    <row r="31" spans="2:8" ht="16.5" customHeight="1" thickBot="1">
      <c r="C31" s="473"/>
      <c r="D31" s="64"/>
      <c r="E31" s="64"/>
      <c r="F31" s="64"/>
    </row>
    <row r="32" spans="2:8" ht="18.5">
      <c r="B32" s="474" t="s">
        <v>419</v>
      </c>
      <c r="C32" s="65"/>
      <c r="D32" s="453" t="s">
        <v>172</v>
      </c>
      <c r="E32" s="453" t="s">
        <v>173</v>
      </c>
      <c r="F32" s="475" t="s">
        <v>174</v>
      </c>
    </row>
    <row r="33" spans="2:11" ht="16" thickBot="1">
      <c r="B33" s="476" t="s">
        <v>394</v>
      </c>
      <c r="C33" s="477"/>
      <c r="D33" s="478"/>
      <c r="E33" s="478" t="s">
        <v>803</v>
      </c>
      <c r="F33" s="479" t="s">
        <v>286</v>
      </c>
    </row>
    <row r="34" spans="2:11" ht="16.5" customHeight="1" thickBot="1">
      <c r="C34" s="17"/>
      <c r="D34" s="480"/>
      <c r="E34" s="481"/>
      <c r="H34" s="1194" t="s">
        <v>386</v>
      </c>
    </row>
    <row r="35" spans="2:11" ht="16" thickBot="1">
      <c r="B35" s="482" t="s">
        <v>469</v>
      </c>
      <c r="C35" s="483">
        <v>411</v>
      </c>
      <c r="D35" s="484">
        <f>+D37+D45+D53</f>
        <v>0</v>
      </c>
      <c r="E35" s="484">
        <f>+E37+E45+E53</f>
        <v>0</v>
      </c>
      <c r="F35" s="484">
        <f>+F37+F45+F53</f>
        <v>0</v>
      </c>
      <c r="H35" s="1195"/>
    </row>
    <row r="36" spans="2:11" ht="16.5" customHeight="1" thickBot="1">
      <c r="C36" s="473"/>
      <c r="D36" s="64"/>
      <c r="E36" s="64"/>
      <c r="F36" s="64"/>
    </row>
    <row r="37" spans="2:11" ht="16" thickBot="1">
      <c r="B37" s="114" t="s">
        <v>720</v>
      </c>
      <c r="C37" s="116" t="s">
        <v>40</v>
      </c>
      <c r="D37" s="484">
        <f>SUM(D38:D44)</f>
        <v>0</v>
      </c>
      <c r="E37" s="484">
        <f>SUM(E38:E44)</f>
        <v>0</v>
      </c>
      <c r="F37" s="484">
        <f>SUM(F38:F44)</f>
        <v>0</v>
      </c>
      <c r="H37" s="493"/>
      <c r="I37" s="9" t="str">
        <f t="shared" ref="I37:I52" si="0">IF(AND(ISNUMBER(D37), ISBLANK(E37)), "Error: Missing 0-6 amount", "")</f>
        <v/>
      </c>
    </row>
    <row r="38" spans="2:11" ht="14.5" customHeight="1">
      <c r="B38" s="278" t="s">
        <v>538</v>
      </c>
      <c r="C38" s="106" t="s">
        <v>41</v>
      </c>
      <c r="D38" s="546"/>
      <c r="E38" s="546"/>
      <c r="F38" s="545">
        <f t="shared" ref="F38:F44" si="1">+D38-E38</f>
        <v>0</v>
      </c>
      <c r="H38" s="437"/>
      <c r="I38" s="117" t="str">
        <f t="shared" si="0"/>
        <v/>
      </c>
      <c r="K38" s="10"/>
    </row>
    <row r="39" spans="2:11" ht="14.5" customHeight="1">
      <c r="B39" s="864" t="s">
        <v>882</v>
      </c>
      <c r="C39" s="112" t="s">
        <v>883</v>
      </c>
      <c r="D39" s="546"/>
      <c r="E39" s="546"/>
      <c r="F39" s="545">
        <f t="shared" si="1"/>
        <v>0</v>
      </c>
      <c r="H39" s="437"/>
      <c r="I39" s="117"/>
      <c r="K39" s="10"/>
    </row>
    <row r="40" spans="2:11">
      <c r="B40" s="278" t="s">
        <v>886</v>
      </c>
      <c r="C40" s="106" t="s">
        <v>42</v>
      </c>
      <c r="D40" s="546"/>
      <c r="E40" s="546"/>
      <c r="F40" s="485">
        <f t="shared" si="1"/>
        <v>0</v>
      </c>
      <c r="H40" s="437"/>
      <c r="I40" s="117" t="str">
        <f t="shared" si="0"/>
        <v/>
      </c>
      <c r="K40" s="10"/>
    </row>
    <row r="41" spans="2:11">
      <c r="B41" s="278" t="s">
        <v>837</v>
      </c>
      <c r="C41" s="106" t="s">
        <v>43</v>
      </c>
      <c r="D41" s="546"/>
      <c r="E41" s="546"/>
      <c r="F41" s="485">
        <f t="shared" si="1"/>
        <v>0</v>
      </c>
      <c r="H41" s="437"/>
      <c r="I41" s="117" t="str">
        <f t="shared" si="0"/>
        <v/>
      </c>
      <c r="K41" s="10"/>
    </row>
    <row r="42" spans="2:11">
      <c r="B42" s="278" t="s">
        <v>965</v>
      </c>
      <c r="C42" s="106" t="s">
        <v>787</v>
      </c>
      <c r="D42" s="546"/>
      <c r="E42" s="546"/>
      <c r="F42" s="485">
        <f t="shared" si="1"/>
        <v>0</v>
      </c>
      <c r="H42" s="437"/>
      <c r="I42" s="117" t="str">
        <f t="shared" si="0"/>
        <v/>
      </c>
      <c r="K42" s="10"/>
    </row>
    <row r="43" spans="2:11">
      <c r="B43" s="278" t="s">
        <v>544</v>
      </c>
      <c r="C43" s="112" t="s">
        <v>788</v>
      </c>
      <c r="D43" s="546"/>
      <c r="E43" s="546"/>
      <c r="F43" s="485">
        <f t="shared" si="1"/>
        <v>0</v>
      </c>
      <c r="H43" s="437"/>
      <c r="I43" s="117" t="str">
        <f t="shared" si="0"/>
        <v/>
      </c>
      <c r="K43" s="10"/>
    </row>
    <row r="44" spans="2:11" ht="16" thickBot="1">
      <c r="B44" s="523" t="s">
        <v>851</v>
      </c>
      <c r="C44" s="107" t="s">
        <v>939</v>
      </c>
      <c r="D44" s="546"/>
      <c r="E44" s="546"/>
      <c r="F44" s="487">
        <f t="shared" si="1"/>
        <v>0</v>
      </c>
      <c r="H44" s="438"/>
      <c r="I44" s="117" t="str">
        <f t="shared" si="0"/>
        <v/>
      </c>
      <c r="K44" s="10"/>
    </row>
    <row r="45" spans="2:11" ht="16" thickBot="1">
      <c r="B45" s="114" t="s">
        <v>550</v>
      </c>
      <c r="C45" s="105" t="s">
        <v>789</v>
      </c>
      <c r="D45" s="484">
        <f>SUM(D46:D52)</f>
        <v>0</v>
      </c>
      <c r="E45" s="484">
        <f>SUM(E46:E52)</f>
        <v>0</v>
      </c>
      <c r="F45" s="484">
        <f>SUM(F46:F52)</f>
        <v>0</v>
      </c>
      <c r="H45" s="493"/>
      <c r="I45" s="117" t="str">
        <f t="shared" si="0"/>
        <v/>
      </c>
    </row>
    <row r="46" spans="2:11">
      <c r="B46" s="278" t="s">
        <v>551</v>
      </c>
      <c r="C46" s="112" t="s">
        <v>790</v>
      </c>
      <c r="D46" s="546"/>
      <c r="E46" s="546"/>
      <c r="F46" s="545">
        <f t="shared" ref="F46:F52" si="2">+D46-E46</f>
        <v>0</v>
      </c>
      <c r="H46" s="439"/>
      <c r="I46" s="117" t="str">
        <f t="shared" si="0"/>
        <v/>
      </c>
      <c r="K46" s="10"/>
    </row>
    <row r="47" spans="2:11">
      <c r="B47" s="864" t="s">
        <v>885</v>
      </c>
      <c r="C47" s="112" t="s">
        <v>884</v>
      </c>
      <c r="D47" s="546"/>
      <c r="E47" s="546"/>
      <c r="F47" s="485">
        <f t="shared" si="2"/>
        <v>0</v>
      </c>
      <c r="H47" s="439"/>
      <c r="I47" s="117"/>
      <c r="K47" s="10"/>
    </row>
    <row r="48" spans="2:11">
      <c r="B48" s="278" t="s">
        <v>887</v>
      </c>
      <c r="C48" s="112" t="s">
        <v>791</v>
      </c>
      <c r="D48" s="546"/>
      <c r="E48" s="546"/>
      <c r="F48" s="485">
        <f t="shared" si="2"/>
        <v>0</v>
      </c>
      <c r="H48" s="439"/>
      <c r="I48" s="117" t="str">
        <f t="shared" si="0"/>
        <v/>
      </c>
      <c r="K48" s="10"/>
    </row>
    <row r="49" spans="2:11">
      <c r="B49" s="278" t="s">
        <v>838</v>
      </c>
      <c r="C49" s="112" t="s">
        <v>792</v>
      </c>
      <c r="D49" s="546"/>
      <c r="E49" s="546"/>
      <c r="F49" s="485">
        <f t="shared" si="2"/>
        <v>0</v>
      </c>
      <c r="H49" s="439"/>
      <c r="I49" s="117" t="str">
        <f t="shared" si="0"/>
        <v/>
      </c>
      <c r="K49" s="10"/>
    </row>
    <row r="50" spans="2:11">
      <c r="B50" s="278" t="s">
        <v>964</v>
      </c>
      <c r="C50" s="112" t="s">
        <v>793</v>
      </c>
      <c r="D50" s="546"/>
      <c r="E50" s="546"/>
      <c r="F50" s="485">
        <f t="shared" si="2"/>
        <v>0</v>
      </c>
      <c r="H50" s="439"/>
      <c r="I50" s="117" t="str">
        <f t="shared" si="0"/>
        <v/>
      </c>
      <c r="K50" s="10"/>
    </row>
    <row r="51" spans="2:11">
      <c r="B51" s="278" t="s">
        <v>557</v>
      </c>
      <c r="C51" s="112" t="s">
        <v>794</v>
      </c>
      <c r="D51" s="546"/>
      <c r="E51" s="546"/>
      <c r="F51" s="485">
        <f t="shared" si="2"/>
        <v>0</v>
      </c>
      <c r="H51" s="439"/>
      <c r="I51" s="117" t="str">
        <f t="shared" si="0"/>
        <v/>
      </c>
      <c r="K51" s="10"/>
    </row>
    <row r="52" spans="2:11" ht="16" thickBot="1">
      <c r="B52" s="523" t="s">
        <v>850</v>
      </c>
      <c r="C52" s="107" t="s">
        <v>795</v>
      </c>
      <c r="D52" s="546"/>
      <c r="E52" s="546"/>
      <c r="F52" s="487">
        <f t="shared" si="2"/>
        <v>0</v>
      </c>
      <c r="H52" s="438"/>
      <c r="I52" s="117" t="str">
        <f t="shared" si="0"/>
        <v/>
      </c>
      <c r="K52" s="10"/>
    </row>
    <row r="53" spans="2:11" ht="16" thickBot="1">
      <c r="B53" s="114" t="s">
        <v>721</v>
      </c>
      <c r="C53" s="105" t="s">
        <v>796</v>
      </c>
      <c r="D53" s="484">
        <f>SUM(D54:D60)</f>
        <v>0</v>
      </c>
      <c r="E53" s="484">
        <f>SUM(E54:E60)</f>
        <v>0</v>
      </c>
      <c r="F53" s="484">
        <f>SUM(F54:F60)</f>
        <v>0</v>
      </c>
      <c r="H53" s="493"/>
    </row>
    <row r="54" spans="2:11">
      <c r="B54" s="488" t="s">
        <v>812</v>
      </c>
      <c r="C54" s="112" t="s">
        <v>797</v>
      </c>
      <c r="D54" s="546"/>
      <c r="E54" s="546"/>
      <c r="F54" s="545">
        <f t="shared" ref="F54:F60" si="3">+D54-E54</f>
        <v>0</v>
      </c>
      <c r="H54" s="439"/>
      <c r="I54" s="117" t="str">
        <f t="shared" ref="I54:I59" si="4">IF(AND(ISNUMBER(D54), ISBLANK(E54)), "Error: Missing 0-6 amount", "")</f>
        <v/>
      </c>
      <c r="K54" s="10"/>
    </row>
    <row r="55" spans="2:11">
      <c r="B55" s="488" t="s">
        <v>813</v>
      </c>
      <c r="C55" s="112" t="s">
        <v>798</v>
      </c>
      <c r="D55" s="546"/>
      <c r="E55" s="546"/>
      <c r="F55" s="485">
        <f t="shared" si="3"/>
        <v>0</v>
      </c>
      <c r="H55" s="439"/>
      <c r="I55" s="117" t="str">
        <f t="shared" si="4"/>
        <v/>
      </c>
      <c r="K55" s="10"/>
    </row>
    <row r="56" spans="2:11">
      <c r="B56" s="489" t="s">
        <v>735</v>
      </c>
      <c r="C56" s="112" t="s">
        <v>799</v>
      </c>
      <c r="D56" s="546"/>
      <c r="E56" s="546"/>
      <c r="F56" s="485">
        <f t="shared" si="3"/>
        <v>0</v>
      </c>
      <c r="H56" s="439"/>
      <c r="I56" s="117" t="str">
        <f t="shared" si="4"/>
        <v/>
      </c>
      <c r="K56" s="10"/>
    </row>
    <row r="57" spans="2:11">
      <c r="B57" s="489" t="s">
        <v>814</v>
      </c>
      <c r="C57" s="112" t="s">
        <v>846</v>
      </c>
      <c r="D57" s="546"/>
      <c r="E57" s="546"/>
      <c r="F57" s="490">
        <f t="shared" si="3"/>
        <v>0</v>
      </c>
      <c r="H57" s="439"/>
      <c r="I57" s="117" t="str">
        <f t="shared" si="4"/>
        <v/>
      </c>
      <c r="K57" s="10"/>
    </row>
    <row r="58" spans="2:11">
      <c r="B58" s="489" t="s">
        <v>839</v>
      </c>
      <c r="C58" s="112" t="s">
        <v>847</v>
      </c>
      <c r="D58" s="546"/>
      <c r="E58" s="546"/>
      <c r="F58" s="490">
        <f t="shared" si="3"/>
        <v>0</v>
      </c>
      <c r="H58" s="439"/>
      <c r="I58" s="117" t="str">
        <f t="shared" si="4"/>
        <v/>
      </c>
      <c r="K58" s="10"/>
    </row>
    <row r="59" spans="2:11">
      <c r="B59" s="489" t="s">
        <v>840</v>
      </c>
      <c r="C59" s="112" t="s">
        <v>848</v>
      </c>
      <c r="D59" s="546"/>
      <c r="E59" s="546"/>
      <c r="F59" s="490">
        <f t="shared" si="3"/>
        <v>0</v>
      </c>
      <c r="H59" s="439"/>
      <c r="I59" s="117" t="str">
        <f t="shared" si="4"/>
        <v/>
      </c>
      <c r="K59" s="10"/>
    </row>
    <row r="60" spans="2:11" ht="16" thickBot="1">
      <c r="B60" s="522" t="s">
        <v>722</v>
      </c>
      <c r="C60" s="107" t="s">
        <v>849</v>
      </c>
      <c r="D60" s="546"/>
      <c r="E60" s="546"/>
      <c r="F60" s="487">
        <f t="shared" si="3"/>
        <v>0</v>
      </c>
      <c r="H60" s="438"/>
      <c r="I60" s="117" t="str">
        <f>IF(AND(ISNUMBER(D60), ISBLANK(E60)), "Error: Missing 0-6 amount", "")</f>
        <v/>
      </c>
      <c r="K60" s="10"/>
    </row>
    <row r="61" spans="2:11" s="12" customFormat="1" ht="16" thickBot="1">
      <c r="B61" s="14"/>
      <c r="C61" s="14"/>
      <c r="D61" s="14"/>
      <c r="E61" s="14"/>
      <c r="F61" s="14"/>
      <c r="G61" s="14"/>
      <c r="H61" s="491"/>
      <c r="K61" s="10"/>
    </row>
    <row r="62" spans="2:11" ht="16" thickBot="1">
      <c r="B62" s="492" t="s">
        <v>45</v>
      </c>
      <c r="C62" s="105">
        <v>421</v>
      </c>
      <c r="D62" s="484">
        <f>SUM(D63:D69)</f>
        <v>0</v>
      </c>
      <c r="E62" s="484">
        <f>SUM(E63:E69)</f>
        <v>0</v>
      </c>
      <c r="F62" s="484">
        <f>SUM(F63:F69)</f>
        <v>0</v>
      </c>
      <c r="H62" s="493"/>
      <c r="I62" s="494"/>
      <c r="K62" s="10"/>
    </row>
    <row r="63" spans="2:11">
      <c r="B63" s="26" t="s">
        <v>178</v>
      </c>
      <c r="C63" s="106" t="s">
        <v>46</v>
      </c>
      <c r="D63" s="546"/>
      <c r="E63" s="546"/>
      <c r="F63" s="545">
        <f t="shared" ref="F63:F69" si="5">+D63-E63</f>
        <v>0</v>
      </c>
      <c r="H63" s="440"/>
      <c r="I63" s="117" t="str">
        <f>IF(AND(ISNUMBER(D63), ISBLANK(E63)), "Error: Missing 0-6 amount", "")</f>
        <v/>
      </c>
      <c r="K63" s="10"/>
    </row>
    <row r="64" spans="2:11">
      <c r="B64" s="26" t="s">
        <v>179</v>
      </c>
      <c r="C64" s="106" t="s">
        <v>48</v>
      </c>
      <c r="D64" s="546"/>
      <c r="E64" s="546"/>
      <c r="F64" s="485">
        <f t="shared" si="5"/>
        <v>0</v>
      </c>
      <c r="H64" s="437"/>
      <c r="I64" s="117" t="str">
        <f t="shared" ref="I64:I69" si="6">IF(AND(ISNUMBER(D64), ISBLANK(E64)), "Error: Missing 0-6 amount", "")</f>
        <v/>
      </c>
      <c r="K64" s="10"/>
    </row>
    <row r="65" spans="2:11">
      <c r="B65" s="26" t="s">
        <v>180</v>
      </c>
      <c r="C65" s="106" t="s">
        <v>49</v>
      </c>
      <c r="D65" s="546"/>
      <c r="E65" s="546"/>
      <c r="F65" s="485">
        <f t="shared" si="5"/>
        <v>0</v>
      </c>
      <c r="H65" s="437"/>
      <c r="I65" s="117" t="str">
        <f t="shared" si="6"/>
        <v/>
      </c>
      <c r="K65" s="10"/>
    </row>
    <row r="66" spans="2:11">
      <c r="B66" s="26" t="s">
        <v>181</v>
      </c>
      <c r="C66" s="106" t="s">
        <v>50</v>
      </c>
      <c r="D66" s="546"/>
      <c r="E66" s="546"/>
      <c r="F66" s="485">
        <f t="shared" si="5"/>
        <v>0</v>
      </c>
      <c r="H66" s="437"/>
      <c r="I66" s="117" t="str">
        <f t="shared" si="6"/>
        <v/>
      </c>
      <c r="K66" s="10"/>
    </row>
    <row r="67" spans="2:11">
      <c r="B67" s="26" t="s">
        <v>182</v>
      </c>
      <c r="C67" s="106" t="s">
        <v>183</v>
      </c>
      <c r="D67" s="546"/>
      <c r="E67" s="546"/>
      <c r="F67" s="485">
        <f t="shared" si="5"/>
        <v>0</v>
      </c>
      <c r="H67" s="440"/>
      <c r="I67" s="117" t="str">
        <f t="shared" si="6"/>
        <v/>
      </c>
      <c r="K67" s="10"/>
    </row>
    <row r="68" spans="2:11">
      <c r="B68" s="26" t="s">
        <v>184</v>
      </c>
      <c r="C68" s="106" t="s">
        <v>51</v>
      </c>
      <c r="D68" s="546"/>
      <c r="E68" s="546"/>
      <c r="F68" s="485">
        <f t="shared" si="5"/>
        <v>0</v>
      </c>
      <c r="H68" s="437"/>
      <c r="I68" s="117" t="str">
        <f t="shared" si="6"/>
        <v/>
      </c>
      <c r="K68" s="10"/>
    </row>
    <row r="69" spans="2:11" ht="16" thickBot="1">
      <c r="B69" s="111" t="s">
        <v>177</v>
      </c>
      <c r="C69" s="107" t="s">
        <v>47</v>
      </c>
      <c r="D69" s="546"/>
      <c r="E69" s="546"/>
      <c r="F69" s="487">
        <f t="shared" si="5"/>
        <v>0</v>
      </c>
      <c r="H69" s="438"/>
      <c r="I69" s="117" t="str">
        <f t="shared" si="6"/>
        <v/>
      </c>
      <c r="K69" s="10"/>
    </row>
    <row r="70" spans="2:11" s="12" customFormat="1" ht="16" thickBot="1">
      <c r="B70" s="9"/>
      <c r="C70" s="9"/>
      <c r="D70" s="9"/>
      <c r="E70" s="9"/>
      <c r="F70" s="9"/>
      <c r="H70" s="495"/>
      <c r="K70" s="10"/>
    </row>
    <row r="71" spans="2:11" s="12" customFormat="1" ht="16" thickBot="1">
      <c r="B71" s="492" t="s">
        <v>52</v>
      </c>
      <c r="C71" s="105">
        <v>431</v>
      </c>
      <c r="D71" s="484">
        <f>SUM(D72:D74)</f>
        <v>0</v>
      </c>
      <c r="E71" s="484">
        <f>SUM(E72:E74)</f>
        <v>0</v>
      </c>
      <c r="F71" s="484">
        <f>SUM(F72:F74)</f>
        <v>0</v>
      </c>
      <c r="H71" s="496"/>
      <c r="K71" s="10"/>
    </row>
    <row r="72" spans="2:11" s="12" customFormat="1">
      <c r="B72" s="26" t="s">
        <v>185</v>
      </c>
      <c r="C72" s="106" t="s">
        <v>53</v>
      </c>
      <c r="D72" s="546"/>
      <c r="E72" s="546">
        <f>IFERROR(+D72*'A2.Allocation &amp; Operating Plan'!C$75,0)</f>
        <v>0</v>
      </c>
      <c r="F72" s="545">
        <f t="shared" ref="F72:F101" si="7">+D72-E72</f>
        <v>0</v>
      </c>
      <c r="G72" s="9"/>
      <c r="H72" s="437"/>
      <c r="K72" s="10"/>
    </row>
    <row r="73" spans="2:11">
      <c r="B73" s="26" t="s">
        <v>186</v>
      </c>
      <c r="C73" s="106" t="s">
        <v>54</v>
      </c>
      <c r="D73" s="546"/>
      <c r="E73" s="27">
        <f>IFERROR(+D73*'A2.Allocation &amp; Operating Plan'!C$75,0)</f>
        <v>0</v>
      </c>
      <c r="F73" s="485">
        <f t="shared" si="7"/>
        <v>0</v>
      </c>
      <c r="G73" s="12"/>
      <c r="H73" s="437"/>
      <c r="K73" s="10"/>
    </row>
    <row r="74" spans="2:11" s="12" customFormat="1" ht="16" thickBot="1">
      <c r="B74" s="111" t="s">
        <v>177</v>
      </c>
      <c r="C74" s="107" t="s">
        <v>187</v>
      </c>
      <c r="D74" s="546"/>
      <c r="E74" s="108">
        <f>IFERROR(+D74*'A2.Allocation &amp; Operating Plan'!C$75,0)</f>
        <v>0</v>
      </c>
      <c r="F74" s="487">
        <f t="shared" si="7"/>
        <v>0</v>
      </c>
      <c r="G74" s="9"/>
      <c r="H74" s="438"/>
      <c r="K74" s="10"/>
    </row>
    <row r="75" spans="2:11" ht="16" thickBot="1">
      <c r="G75" s="12"/>
      <c r="H75" s="495"/>
      <c r="K75" s="10"/>
    </row>
    <row r="76" spans="2:11" s="12" customFormat="1" ht="16" thickBot="1">
      <c r="B76" s="492" t="s">
        <v>55</v>
      </c>
      <c r="C76" s="105">
        <v>441</v>
      </c>
      <c r="D76" s="484">
        <f>SUM(D77:D78)</f>
        <v>0</v>
      </c>
      <c r="E76" s="484">
        <f>SUM(E77:E78)</f>
        <v>0</v>
      </c>
      <c r="F76" s="484">
        <f>SUM(F77:F78)</f>
        <v>0</v>
      </c>
      <c r="H76" s="496"/>
      <c r="K76" s="10"/>
    </row>
    <row r="77" spans="2:11" s="12" customFormat="1">
      <c r="B77" s="26" t="s">
        <v>188</v>
      </c>
      <c r="C77" s="106" t="s">
        <v>56</v>
      </c>
      <c r="D77" s="546"/>
      <c r="E77" s="546">
        <f>IFERROR(+D77*'A2.Allocation &amp; Operating Plan'!C$75,0)</f>
        <v>0</v>
      </c>
      <c r="F77" s="545">
        <f t="shared" si="7"/>
        <v>0</v>
      </c>
      <c r="G77" s="9"/>
      <c r="H77" s="437"/>
      <c r="K77" s="10"/>
    </row>
    <row r="78" spans="2:11" s="12" customFormat="1" ht="16" thickBot="1">
      <c r="B78" s="111" t="s">
        <v>177</v>
      </c>
      <c r="C78" s="107" t="s">
        <v>189</v>
      </c>
      <c r="D78" s="546"/>
      <c r="E78" s="108">
        <f>IFERROR(+D78*'A2.Allocation &amp; Operating Plan'!C$75,0)</f>
        <v>0</v>
      </c>
      <c r="F78" s="487">
        <f t="shared" si="7"/>
        <v>0</v>
      </c>
      <c r="G78" s="9"/>
      <c r="H78" s="438"/>
      <c r="K78" s="10"/>
    </row>
    <row r="79" spans="2:11" ht="15.75" customHeight="1" thickBot="1">
      <c r="H79" s="495"/>
      <c r="K79" s="10"/>
    </row>
    <row r="80" spans="2:11" ht="15" customHeight="1" thickBot="1">
      <c r="B80" s="492" t="s">
        <v>57</v>
      </c>
      <c r="C80" s="105">
        <v>451</v>
      </c>
      <c r="D80" s="484">
        <f>SUM(D81:D101)</f>
        <v>0</v>
      </c>
      <c r="E80" s="484">
        <f>SUM(E81:E101)</f>
        <v>0</v>
      </c>
      <c r="F80" s="484">
        <f>SUM(F81:F101)</f>
        <v>0</v>
      </c>
      <c r="H80" s="496"/>
      <c r="K80" s="10"/>
    </row>
    <row r="81" spans="2:11" ht="14.5" customHeight="1">
      <c r="B81" s="26" t="s">
        <v>190</v>
      </c>
      <c r="C81" s="106" t="s">
        <v>58</v>
      </c>
      <c r="D81" s="546"/>
      <c r="E81" s="546">
        <f>IFERROR(+D81*'A2.Allocation &amp; Operating Plan'!C$75,0)</f>
        <v>0</v>
      </c>
      <c r="F81" s="545">
        <f t="shared" si="7"/>
        <v>0</v>
      </c>
      <c r="H81" s="437"/>
      <c r="K81" s="10"/>
    </row>
    <row r="82" spans="2:11" ht="14.5" customHeight="1">
      <c r="B82" s="497" t="s">
        <v>821</v>
      </c>
      <c r="C82" s="106" t="s">
        <v>59</v>
      </c>
      <c r="D82" s="546"/>
      <c r="E82" s="27">
        <f>IFERROR(+D82*'A2.Allocation &amp; Operating Plan'!C$75,0)</f>
        <v>0</v>
      </c>
      <c r="F82" s="485">
        <f t="shared" si="7"/>
        <v>0</v>
      </c>
      <c r="H82" s="437"/>
      <c r="K82" s="10"/>
    </row>
    <row r="83" spans="2:11" ht="14.5" customHeight="1">
      <c r="B83" s="497" t="s">
        <v>822</v>
      </c>
      <c r="C83" s="106" t="s">
        <v>409</v>
      </c>
      <c r="D83" s="546"/>
      <c r="E83" s="27">
        <f>IFERROR(+D83*'A2.Allocation &amp; Operating Plan'!C$75,0)</f>
        <v>0</v>
      </c>
      <c r="F83" s="485">
        <f t="shared" si="7"/>
        <v>0</v>
      </c>
      <c r="H83" s="437"/>
      <c r="K83" s="10"/>
    </row>
    <row r="84" spans="2:11">
      <c r="B84" s="26" t="s">
        <v>191</v>
      </c>
      <c r="C84" s="106" t="s">
        <v>60</v>
      </c>
      <c r="D84" s="546"/>
      <c r="E84" s="27">
        <f>IFERROR(+D84*'A2.Allocation &amp; Operating Plan'!C$75,0)</f>
        <v>0</v>
      </c>
      <c r="F84" s="485">
        <f t="shared" si="7"/>
        <v>0</v>
      </c>
      <c r="H84" s="437"/>
      <c r="K84" s="10"/>
    </row>
    <row r="85" spans="2:11">
      <c r="B85" s="26" t="s">
        <v>192</v>
      </c>
      <c r="C85" s="106" t="s">
        <v>61</v>
      </c>
      <c r="D85" s="546"/>
      <c r="E85" s="27">
        <f>IFERROR(+D85*'A2.Allocation &amp; Operating Plan'!C$75,0)</f>
        <v>0</v>
      </c>
      <c r="F85" s="485">
        <f>+D85-E85</f>
        <v>0</v>
      </c>
      <c r="H85" s="437"/>
      <c r="K85" s="10"/>
    </row>
    <row r="86" spans="2:11">
      <c r="B86" s="26" t="s">
        <v>193</v>
      </c>
      <c r="C86" s="106" t="s">
        <v>62</v>
      </c>
      <c r="D86" s="546"/>
      <c r="E86" s="27">
        <f>IFERROR(+D86*'A2.Allocation &amp; Operating Plan'!C$75,0)</f>
        <v>0</v>
      </c>
      <c r="F86" s="485">
        <f>+D86-E86</f>
        <v>0</v>
      </c>
      <c r="H86" s="437"/>
      <c r="K86" s="10"/>
    </row>
    <row r="87" spans="2:11">
      <c r="B87" s="26" t="s">
        <v>240</v>
      </c>
      <c r="C87" s="106" t="s">
        <v>63</v>
      </c>
      <c r="D87" s="546"/>
      <c r="E87" s="27">
        <f>IFERROR(+D87*'A2.Allocation &amp; Operating Plan'!C$75,0)</f>
        <v>0</v>
      </c>
      <c r="F87" s="485">
        <f t="shared" si="7"/>
        <v>0</v>
      </c>
      <c r="H87" s="437"/>
      <c r="K87" s="10"/>
    </row>
    <row r="88" spans="2:11">
      <c r="B88" s="26" t="s">
        <v>194</v>
      </c>
      <c r="C88" s="106" t="s">
        <v>64</v>
      </c>
      <c r="D88" s="546"/>
      <c r="E88" s="27">
        <f>IFERROR(+D88*'A2.Allocation &amp; Operating Plan'!C$75,0)</f>
        <v>0</v>
      </c>
      <c r="F88" s="485">
        <f t="shared" si="7"/>
        <v>0</v>
      </c>
      <c r="H88" s="437"/>
      <c r="K88" s="10"/>
    </row>
    <row r="89" spans="2:11">
      <c r="B89" s="20" t="s">
        <v>723</v>
      </c>
      <c r="C89" s="106" t="s">
        <v>65</v>
      </c>
      <c r="D89" s="546"/>
      <c r="E89" s="27">
        <f>IFERROR(+D89*'A2.Allocation &amp; Operating Plan'!C$75,0)</f>
        <v>0</v>
      </c>
      <c r="F89" s="485">
        <f t="shared" si="7"/>
        <v>0</v>
      </c>
      <c r="H89" s="437"/>
      <c r="K89" s="10"/>
    </row>
    <row r="90" spans="2:11">
      <c r="B90" s="20" t="s">
        <v>195</v>
      </c>
      <c r="C90" s="106" t="s">
        <v>66</v>
      </c>
      <c r="D90" s="546"/>
      <c r="E90" s="27">
        <f>IFERROR(+D90*'A2.Allocation &amp; Operating Plan'!C$75,0)</f>
        <v>0</v>
      </c>
      <c r="F90" s="485">
        <f t="shared" si="7"/>
        <v>0</v>
      </c>
      <c r="H90" s="437"/>
      <c r="K90" s="10"/>
    </row>
    <row r="91" spans="2:11">
      <c r="B91" s="26" t="s">
        <v>196</v>
      </c>
      <c r="C91" s="106" t="s">
        <v>67</v>
      </c>
      <c r="D91" s="546"/>
      <c r="E91" s="27">
        <f>IFERROR(+D91*'A2.Allocation &amp; Operating Plan'!C$75,0)</f>
        <v>0</v>
      </c>
      <c r="F91" s="485">
        <f t="shared" si="7"/>
        <v>0</v>
      </c>
      <c r="H91" s="437"/>
      <c r="K91" s="10"/>
    </row>
    <row r="92" spans="2:11">
      <c r="B92" s="26" t="s">
        <v>197</v>
      </c>
      <c r="C92" s="106" t="s">
        <v>68</v>
      </c>
      <c r="D92" s="546"/>
      <c r="E92" s="27">
        <f>IFERROR(+D92*'A2.Allocation &amp; Operating Plan'!C$75,0)</f>
        <v>0</v>
      </c>
      <c r="F92" s="485">
        <f t="shared" si="7"/>
        <v>0</v>
      </c>
      <c r="H92" s="437"/>
      <c r="K92" s="10"/>
    </row>
    <row r="93" spans="2:11">
      <c r="B93" s="26" t="s">
        <v>198</v>
      </c>
      <c r="C93" s="106" t="s">
        <v>69</v>
      </c>
      <c r="D93" s="546"/>
      <c r="E93" s="27">
        <f>IFERROR(+D93*'A2.Allocation &amp; Operating Plan'!C$75,0)</f>
        <v>0</v>
      </c>
      <c r="F93" s="485">
        <f t="shared" si="7"/>
        <v>0</v>
      </c>
      <c r="G93" s="12"/>
      <c r="H93" s="437"/>
      <c r="K93" s="10"/>
    </row>
    <row r="94" spans="2:11" s="12" customFormat="1">
      <c r="B94" s="26" t="s">
        <v>199</v>
      </c>
      <c r="C94" s="106" t="s">
        <v>70</v>
      </c>
      <c r="D94" s="546"/>
      <c r="E94" s="27">
        <f>IFERROR(+D94*'A2.Allocation &amp; Operating Plan'!C$75,0)</f>
        <v>0</v>
      </c>
      <c r="F94" s="485">
        <f t="shared" si="7"/>
        <v>0</v>
      </c>
      <c r="G94" s="9"/>
      <c r="H94" s="437"/>
      <c r="K94" s="10"/>
    </row>
    <row r="95" spans="2:11" s="12" customFormat="1">
      <c r="B95" s="20" t="s">
        <v>467</v>
      </c>
      <c r="C95" s="106" t="s">
        <v>466</v>
      </c>
      <c r="D95" s="546"/>
      <c r="E95" s="27">
        <f>IFERROR(+D95*'A2.Allocation &amp; Operating Plan'!C$75,0)</f>
        <v>0</v>
      </c>
      <c r="F95" s="485">
        <f t="shared" si="7"/>
        <v>0</v>
      </c>
      <c r="G95" s="9"/>
      <c r="H95" s="437"/>
      <c r="K95" s="10"/>
    </row>
    <row r="96" spans="2:11">
      <c r="B96" s="26" t="s">
        <v>200</v>
      </c>
      <c r="C96" s="106" t="s">
        <v>71</v>
      </c>
      <c r="D96" s="546"/>
      <c r="E96" s="27">
        <f>IFERROR(+D96*'A2.Allocation &amp; Operating Plan'!C$75,0)</f>
        <v>0</v>
      </c>
      <c r="F96" s="485">
        <f t="shared" si="7"/>
        <v>0</v>
      </c>
      <c r="H96" s="437"/>
      <c r="K96" s="10"/>
    </row>
    <row r="97" spans="2:11">
      <c r="B97" s="20" t="s">
        <v>201</v>
      </c>
      <c r="C97" s="106" t="s">
        <v>72</v>
      </c>
      <c r="D97" s="546"/>
      <c r="E97" s="27">
        <f>IFERROR(+D97*'A2.Allocation &amp; Operating Plan'!C$75,0)</f>
        <v>0</v>
      </c>
      <c r="F97" s="485">
        <f t="shared" si="7"/>
        <v>0</v>
      </c>
      <c r="H97" s="437"/>
      <c r="K97" s="10"/>
    </row>
    <row r="98" spans="2:11">
      <c r="B98" s="20" t="s">
        <v>468</v>
      </c>
      <c r="C98" s="106" t="s">
        <v>410</v>
      </c>
      <c r="D98" s="546"/>
      <c r="E98" s="27">
        <f>IFERROR(+D98*'A2.Allocation &amp; Operating Plan'!C$75,0)</f>
        <v>0</v>
      </c>
      <c r="F98" s="485">
        <f>+D98-E98</f>
        <v>0</v>
      </c>
      <c r="H98" s="437"/>
      <c r="K98" s="10"/>
    </row>
    <row r="99" spans="2:11" s="12" customFormat="1">
      <c r="B99" s="524" t="s">
        <v>177</v>
      </c>
      <c r="C99" s="106" t="s">
        <v>86</v>
      </c>
      <c r="D99" s="546"/>
      <c r="E99" s="27">
        <f>IFERROR(+D99*'A2.Allocation &amp; Operating Plan'!C$75,0)</f>
        <v>0</v>
      </c>
      <c r="F99" s="485">
        <f t="shared" si="7"/>
        <v>0</v>
      </c>
      <c r="G99" s="9"/>
      <c r="H99" s="437"/>
      <c r="K99" s="10"/>
    </row>
    <row r="100" spans="2:11" s="12" customFormat="1">
      <c r="B100" s="524" t="s">
        <v>177</v>
      </c>
      <c r="C100" s="106" t="s">
        <v>854</v>
      </c>
      <c r="D100" s="546"/>
      <c r="E100" s="27">
        <f>IFERROR(+D100*'A2.Allocation &amp; Operating Plan'!C$75,0)</f>
        <v>0</v>
      </c>
      <c r="F100" s="485">
        <f t="shared" si="7"/>
        <v>0</v>
      </c>
      <c r="G100" s="9"/>
      <c r="H100" s="437"/>
      <c r="K100" s="10"/>
    </row>
    <row r="101" spans="2:11" ht="16" thickBot="1">
      <c r="B101" s="111" t="s">
        <v>177</v>
      </c>
      <c r="C101" s="107" t="s">
        <v>853</v>
      </c>
      <c r="D101" s="546"/>
      <c r="E101" s="108">
        <f>IFERROR(+D101*'A2.Allocation &amp; Operating Plan'!C$75,0)</f>
        <v>0</v>
      </c>
      <c r="F101" s="487">
        <f t="shared" si="7"/>
        <v>0</v>
      </c>
      <c r="H101" s="438"/>
      <c r="K101" s="10"/>
    </row>
    <row r="102" spans="2:11" ht="16" thickBot="1">
      <c r="G102" s="12"/>
      <c r="H102" s="495"/>
      <c r="K102" s="10"/>
    </row>
    <row r="103" spans="2:11" s="12" customFormat="1" ht="16" thickBot="1">
      <c r="B103" s="492" t="s">
        <v>139</v>
      </c>
      <c r="C103" s="105">
        <v>461</v>
      </c>
      <c r="D103" s="484">
        <f>SUM(D104:D108)</f>
        <v>0</v>
      </c>
      <c r="E103" s="484">
        <f>SUM(E104:E108)</f>
        <v>0</v>
      </c>
      <c r="F103" s="484">
        <f>SUM(F104:F108)</f>
        <v>0</v>
      </c>
      <c r="H103" s="496"/>
      <c r="K103" s="10"/>
    </row>
    <row r="104" spans="2:11" s="12" customFormat="1" hidden="1">
      <c r="B104" s="26" t="s">
        <v>202</v>
      </c>
      <c r="C104" s="106" t="s">
        <v>73</v>
      </c>
      <c r="D104" s="547"/>
      <c r="E104" s="547"/>
      <c r="F104" s="545">
        <f>+D104-E104</f>
        <v>0</v>
      </c>
      <c r="H104" s="486"/>
      <c r="K104" s="10"/>
    </row>
    <row r="105" spans="2:11" s="12" customFormat="1">
      <c r="B105" s="26" t="s">
        <v>203</v>
      </c>
      <c r="C105" s="106" t="s">
        <v>74</v>
      </c>
      <c r="D105" s="546"/>
      <c r="E105" s="546">
        <f>IFERROR(+D105*'A2.Allocation &amp; Operating Plan'!C$75,0)</f>
        <v>0</v>
      </c>
      <c r="F105" s="485">
        <f>+D105-E105</f>
        <v>0</v>
      </c>
      <c r="H105" s="437"/>
      <c r="K105" s="10"/>
    </row>
    <row r="106" spans="2:11" s="12" customFormat="1">
      <c r="B106" s="26" t="s">
        <v>204</v>
      </c>
      <c r="C106" s="106" t="s">
        <v>75</v>
      </c>
      <c r="D106" s="546"/>
      <c r="E106" s="546">
        <f>IFERROR(+D106*'A2.Allocation &amp; Operating Plan'!C$75,0)</f>
        <v>0</v>
      </c>
      <c r="F106" s="485">
        <f>+D106-E106</f>
        <v>0</v>
      </c>
      <c r="K106" s="10"/>
    </row>
    <row r="107" spans="2:11" s="12" customFormat="1">
      <c r="B107" s="26" t="s">
        <v>205</v>
      </c>
      <c r="C107" s="106" t="s">
        <v>411</v>
      </c>
      <c r="D107" s="546"/>
      <c r="E107" s="546">
        <f>IFERROR(+D107*'A2.Allocation &amp; Operating Plan'!C$75,0)</f>
        <v>0</v>
      </c>
      <c r="F107" s="485">
        <f>+D107-E107</f>
        <v>0</v>
      </c>
      <c r="H107" s="437"/>
      <c r="K107" s="10"/>
    </row>
    <row r="108" spans="2:11" s="12" customFormat="1" ht="16" thickBot="1">
      <c r="B108" s="111" t="s">
        <v>177</v>
      </c>
      <c r="C108" s="107" t="s">
        <v>412</v>
      </c>
      <c r="D108" s="546"/>
      <c r="E108" s="546">
        <f>IFERROR(+D108*'A2.Allocation &amp; Operating Plan'!C$75,0)</f>
        <v>0</v>
      </c>
      <c r="F108" s="487">
        <f>+D108-E108</f>
        <v>0</v>
      </c>
      <c r="H108" s="438"/>
      <c r="K108" s="10"/>
    </row>
    <row r="109" spans="2:11" ht="16" thickBot="1">
      <c r="C109" s="12"/>
      <c r="D109" s="12"/>
      <c r="E109" s="498"/>
      <c r="F109" s="498"/>
      <c r="G109" s="12"/>
      <c r="H109" s="10"/>
    </row>
    <row r="110" spans="2:11" ht="16" thickBot="1">
      <c r="B110" s="492" t="s">
        <v>459</v>
      </c>
      <c r="C110" s="105">
        <v>465</v>
      </c>
      <c r="D110" s="484">
        <f>SUM(D111)</f>
        <v>0</v>
      </c>
      <c r="E110" s="484">
        <f>SUM(E111)</f>
        <v>0</v>
      </c>
      <c r="F110" s="484">
        <f>SUM(F111)</f>
        <v>0</v>
      </c>
    </row>
    <row r="111" spans="2:11" ht="16" thickBot="1">
      <c r="B111" s="499" t="s">
        <v>354</v>
      </c>
      <c r="C111" s="500" t="s">
        <v>861</v>
      </c>
      <c r="D111" s="484">
        <f>'A3. Peel Region Grants'!E117</f>
        <v>0</v>
      </c>
      <c r="E111" s="484">
        <f>D111</f>
        <v>0</v>
      </c>
      <c r="F111" s="551">
        <f>D111-E111</f>
        <v>0</v>
      </c>
      <c r="H111" s="555" t="s">
        <v>881</v>
      </c>
      <c r="I111" s="14"/>
      <c r="J111" s="14"/>
      <c r="K111" s="14"/>
    </row>
    <row r="112" spans="2:11" ht="16" thickBot="1">
      <c r="C112" s="12"/>
      <c r="D112" s="12"/>
      <c r="E112" s="498"/>
      <c r="F112" s="498"/>
      <c r="G112" s="12"/>
      <c r="H112" s="10"/>
    </row>
    <row r="113" spans="2:8" s="12" customFormat="1" ht="16" thickBot="1">
      <c r="B113" s="501" t="s">
        <v>76</v>
      </c>
      <c r="C113" s="105">
        <v>471</v>
      </c>
      <c r="D113" s="484">
        <f>SUM(D114:D116)</f>
        <v>0</v>
      </c>
      <c r="E113" s="484">
        <f>SUM(E114:E116)</f>
        <v>0</v>
      </c>
      <c r="F113" s="484"/>
      <c r="H113" s="9"/>
    </row>
    <row r="114" spans="2:8" s="12" customFormat="1">
      <c r="B114" s="102" t="s">
        <v>44</v>
      </c>
      <c r="C114" s="106" t="s">
        <v>413</v>
      </c>
      <c r="D114" s="546"/>
      <c r="E114" s="552">
        <f>D114</f>
        <v>0</v>
      </c>
      <c r="F114" s="553"/>
      <c r="H114" s="9"/>
    </row>
    <row r="115" spans="2:8" s="12" customFormat="1">
      <c r="B115" s="102" t="s">
        <v>44</v>
      </c>
      <c r="C115" s="106" t="s">
        <v>414</v>
      </c>
      <c r="D115" s="546"/>
      <c r="E115" s="468">
        <f>D115</f>
        <v>0</v>
      </c>
      <c r="F115" s="466"/>
      <c r="H115" s="9"/>
    </row>
    <row r="116" spans="2:8" s="12" customFormat="1" ht="16" thickBot="1">
      <c r="B116" s="113" t="s">
        <v>44</v>
      </c>
      <c r="C116" s="107" t="s">
        <v>415</v>
      </c>
      <c r="D116" s="546"/>
      <c r="E116" s="502">
        <f>D116</f>
        <v>0</v>
      </c>
      <c r="F116" s="503"/>
      <c r="H116" s="10"/>
    </row>
    <row r="117" spans="2:8" s="12" customFormat="1" ht="16" thickBot="1">
      <c r="B117" s="9"/>
      <c r="C117" s="9"/>
      <c r="D117" s="9"/>
      <c r="E117" s="9"/>
      <c r="F117" s="9"/>
      <c r="H117" s="9"/>
    </row>
    <row r="118" spans="2:8" s="12" customFormat="1" ht="16" thickBot="1">
      <c r="B118" s="501" t="s">
        <v>810</v>
      </c>
      <c r="C118" s="105">
        <v>481</v>
      </c>
      <c r="D118" s="484">
        <f>SUM(D119:D121)</f>
        <v>0</v>
      </c>
      <c r="E118" s="484">
        <f>SUM(E119:E121)</f>
        <v>0</v>
      </c>
      <c r="F118" s="484"/>
      <c r="H118" s="9"/>
    </row>
    <row r="119" spans="2:8" s="12" customFormat="1">
      <c r="B119" s="102" t="s">
        <v>44</v>
      </c>
      <c r="C119" s="106" t="s">
        <v>416</v>
      </c>
      <c r="D119" s="546"/>
      <c r="E119" s="552">
        <f>D119</f>
        <v>0</v>
      </c>
      <c r="F119" s="553"/>
      <c r="H119" s="9"/>
    </row>
    <row r="120" spans="2:8" s="12" customFormat="1">
      <c r="B120" s="102" t="s">
        <v>44</v>
      </c>
      <c r="C120" s="106" t="s">
        <v>417</v>
      </c>
      <c r="D120" s="546"/>
      <c r="E120" s="468">
        <f>D120</f>
        <v>0</v>
      </c>
      <c r="F120" s="466"/>
      <c r="H120" s="9"/>
    </row>
    <row r="121" spans="2:8" s="12" customFormat="1" ht="16" thickBot="1">
      <c r="B121" s="113" t="s">
        <v>44</v>
      </c>
      <c r="C121" s="107" t="s">
        <v>418</v>
      </c>
      <c r="D121" s="546"/>
      <c r="E121" s="502">
        <f>D121</f>
        <v>0</v>
      </c>
      <c r="F121" s="503"/>
      <c r="H121" s="9"/>
    </row>
    <row r="122" spans="2:8" s="12" customFormat="1" ht="16" thickBot="1">
      <c r="B122" s="9"/>
      <c r="C122" s="9"/>
      <c r="D122" s="9"/>
      <c r="E122" s="9"/>
      <c r="F122" s="9"/>
      <c r="H122" s="9"/>
    </row>
    <row r="123" spans="2:8" ht="16" thickBot="1">
      <c r="B123" s="504" t="s">
        <v>206</v>
      </c>
      <c r="C123" s="505">
        <v>490</v>
      </c>
      <c r="D123" s="506">
        <f>+D80+D71+D62+D35+D76+D113+D118+D110+D103</f>
        <v>0</v>
      </c>
      <c r="E123" s="506">
        <f>+E80+E71+E62+E35+E76+E113+E118+E110+E103</f>
        <v>0</v>
      </c>
      <c r="F123" s="507">
        <f>+F80+F71+F62+F35+F76+F110+F103</f>
        <v>0</v>
      </c>
      <c r="H123" s="77"/>
    </row>
    <row r="124" spans="2:8" ht="16" thickBot="1"/>
    <row r="125" spans="2:8" ht="16" thickBot="1">
      <c r="B125" s="504" t="s">
        <v>207</v>
      </c>
      <c r="C125" s="508" t="s">
        <v>167</v>
      </c>
      <c r="D125" s="509">
        <f>+D30-D123</f>
        <v>0</v>
      </c>
      <c r="E125" s="509">
        <f>+E30-E123</f>
        <v>0</v>
      </c>
      <c r="F125" s="510">
        <f>+F30-F123</f>
        <v>0</v>
      </c>
      <c r="H125" s="12"/>
    </row>
    <row r="126" spans="2:8">
      <c r="B126" s="511"/>
      <c r="D126" s="512"/>
      <c r="E126" s="512"/>
      <c r="F126" s="512"/>
      <c r="H126" s="12"/>
    </row>
    <row r="127" spans="2:8">
      <c r="H127" s="12"/>
    </row>
    <row r="128" spans="2:8">
      <c r="H128" s="12"/>
    </row>
    <row r="129" spans="2:13" ht="24" hidden="1" thickBot="1">
      <c r="B129" s="1196" t="str">
        <f>IF('A1. Identification'!B6=0, " ", "CWELCC Reconciliation of "&amp; 'A2.Allocation &amp; Operating Plan'!$C$59)</f>
        <v xml:space="preserve">CWELCC Reconciliation of  </v>
      </c>
      <c r="C129" s="1197"/>
      <c r="D129" s="1197"/>
      <c r="E129" s="1197"/>
    </row>
    <row r="130" spans="2:13" ht="24" hidden="1" thickBot="1">
      <c r="B130" s="557"/>
      <c r="C130" s="557"/>
      <c r="D130" s="557"/>
      <c r="E130" s="557"/>
    </row>
    <row r="131" spans="2:13" ht="42.5" hidden="1" outlineLevel="1" thickBot="1">
      <c r="B131" s="1198" t="s">
        <v>357</v>
      </c>
      <c r="C131" s="1199"/>
      <c r="D131" s="559" t="s">
        <v>23</v>
      </c>
      <c r="E131" s="557"/>
    </row>
    <row r="132" spans="2:13" hidden="1" outlineLevel="1">
      <c r="B132" s="1200" t="s">
        <v>33</v>
      </c>
      <c r="C132" s="1200"/>
      <c r="D132" s="876">
        <f>'A2.Allocation &amp; Operating Plan'!F20</f>
        <v>0</v>
      </c>
      <c r="E132" s="556"/>
      <c r="F132" s="14"/>
      <c r="G132" s="14"/>
      <c r="H132" s="14"/>
    </row>
    <row r="133" spans="2:13" hidden="1" outlineLevel="1">
      <c r="B133" s="1201" t="s">
        <v>237</v>
      </c>
      <c r="C133" s="1201"/>
      <c r="D133" s="876">
        <f>'A2.Allocation &amp; Operating Plan'!F23</f>
        <v>0</v>
      </c>
      <c r="E133" s="556"/>
      <c r="F133" s="14"/>
      <c r="G133" s="14"/>
      <c r="H133" s="14"/>
    </row>
    <row r="134" spans="2:13" ht="30" hidden="1" outlineLevel="1">
      <c r="B134" s="1178" t="s">
        <v>87</v>
      </c>
      <c r="C134" s="1179"/>
      <c r="D134" s="564">
        <f>D132+D133</f>
        <v>0</v>
      </c>
      <c r="E134" s="558"/>
      <c r="F134" s="14"/>
      <c r="G134" s="514"/>
      <c r="H134" s="515"/>
      <c r="I134" s="514"/>
      <c r="J134" s="514"/>
      <c r="K134" s="516"/>
      <c r="L134" s="14"/>
      <c r="M134" s="14"/>
    </row>
    <row r="135" spans="2:13" ht="29.5" hidden="1" outlineLevel="1">
      <c r="B135" s="565" t="s">
        <v>390</v>
      </c>
      <c r="C135" s="563"/>
      <c r="D135" s="564"/>
      <c r="E135" s="558"/>
      <c r="F135" s="14"/>
      <c r="G135" s="517"/>
      <c r="H135" s="518"/>
      <c r="I135" s="517"/>
      <c r="J135" s="517"/>
      <c r="K135" s="519"/>
      <c r="L135" s="14"/>
      <c r="M135" s="14"/>
    </row>
    <row r="136" spans="2:13" ht="29.5" hidden="1" outlineLevel="1">
      <c r="B136" s="1204" t="s">
        <v>358</v>
      </c>
      <c r="C136" s="1204"/>
      <c r="D136" s="877">
        <f>-E20</f>
        <v>0</v>
      </c>
      <c r="E136" s="558"/>
      <c r="F136" s="14"/>
      <c r="G136" s="517"/>
      <c r="H136" s="518"/>
      <c r="I136" s="517"/>
      <c r="J136" s="517"/>
      <c r="K136" s="519"/>
      <c r="L136" s="14"/>
      <c r="M136" s="14"/>
    </row>
    <row r="137" spans="2:13" ht="29.5" hidden="1" outlineLevel="1">
      <c r="B137" s="1204" t="s">
        <v>359</v>
      </c>
      <c r="C137" s="1204"/>
      <c r="D137" s="566"/>
      <c r="E137" s="558"/>
      <c r="F137" s="14"/>
      <c r="G137" s="517"/>
      <c r="H137" s="518"/>
      <c r="I137" s="517"/>
      <c r="J137" s="517"/>
      <c r="K137" s="519"/>
      <c r="L137" s="14"/>
      <c r="M137" s="14"/>
    </row>
    <row r="138" spans="2:13" ht="29.5" hidden="1" outlineLevel="1">
      <c r="B138" s="1205" t="s">
        <v>360</v>
      </c>
      <c r="C138" s="1206"/>
      <c r="D138" s="878">
        <f>-E21</f>
        <v>0</v>
      </c>
      <c r="E138" s="558"/>
      <c r="F138" s="14"/>
      <c r="G138" s="517"/>
      <c r="H138" s="518"/>
      <c r="I138" s="517"/>
      <c r="J138" s="517"/>
      <c r="K138" s="519"/>
      <c r="L138" s="14"/>
      <c r="M138" s="14"/>
    </row>
    <row r="139" spans="2:13" ht="29.5" hidden="1" outlineLevel="1">
      <c r="B139" s="1178" t="s">
        <v>438</v>
      </c>
      <c r="C139" s="1179"/>
      <c r="D139" s="568">
        <f>D137+D138+D136</f>
        <v>0</v>
      </c>
      <c r="E139" s="558"/>
      <c r="F139" s="14"/>
      <c r="G139" s="517"/>
      <c r="H139" s="518"/>
      <c r="I139" s="517"/>
      <c r="J139" s="517"/>
      <c r="K139" s="519"/>
      <c r="L139" s="14"/>
      <c r="M139" s="14"/>
    </row>
    <row r="140" spans="2:13" ht="29.5" hidden="1" outlineLevel="1">
      <c r="B140" s="562"/>
      <c r="C140" s="563"/>
      <c r="D140" s="569"/>
      <c r="E140" s="558"/>
      <c r="F140" s="14"/>
      <c r="G140" s="517"/>
      <c r="H140" s="518"/>
      <c r="I140" s="517"/>
      <c r="J140" s="517"/>
      <c r="K140" s="519"/>
      <c r="L140" s="14"/>
      <c r="M140" s="14"/>
    </row>
    <row r="141" spans="2:13" ht="29.5" hidden="1" outlineLevel="1">
      <c r="B141" s="1207" t="s">
        <v>380</v>
      </c>
      <c r="C141" s="1207"/>
      <c r="D141" s="570">
        <f>D134+D139</f>
        <v>0</v>
      </c>
      <c r="E141" s="557"/>
      <c r="F141" s="14"/>
      <c r="G141" s="517"/>
      <c r="H141" s="518"/>
      <c r="I141" s="517"/>
      <c r="J141" s="517"/>
      <c r="K141" s="519"/>
      <c r="L141" s="14"/>
      <c r="M141" s="14"/>
    </row>
    <row r="142" spans="2:13" ht="29.5" hidden="1" outlineLevel="1">
      <c r="B142" s="571"/>
      <c r="C142" s="571"/>
      <c r="D142" s="572"/>
      <c r="E142" s="557"/>
      <c r="F142" s="14"/>
      <c r="G142" s="517"/>
      <c r="H142" s="518"/>
      <c r="I142" s="517"/>
      <c r="J142" s="517"/>
      <c r="K142" s="519"/>
      <c r="L142" s="14"/>
      <c r="M142" s="14"/>
    </row>
    <row r="143" spans="2:13" ht="29.5" hidden="1" outlineLevel="1">
      <c r="B143" s="573" t="s">
        <v>39</v>
      </c>
      <c r="C143" s="574" t="s">
        <v>90</v>
      </c>
      <c r="D143" s="575" t="s">
        <v>344</v>
      </c>
      <c r="E143"/>
      <c r="F143" s="14"/>
      <c r="G143" s="517"/>
      <c r="H143" s="518"/>
      <c r="I143" s="517"/>
      <c r="J143" s="517"/>
      <c r="K143" s="519"/>
      <c r="L143" s="14"/>
      <c r="M143" s="14"/>
    </row>
    <row r="144" spans="2:13" ht="29.5" hidden="1" outlineLevel="1">
      <c r="B144" s="536" t="s">
        <v>485</v>
      </c>
      <c r="C144" s="537"/>
      <c r="D144" s="879">
        <f>E123</f>
        <v>0</v>
      </c>
      <c r="E144"/>
      <c r="F144" s="14"/>
      <c r="G144" s="517"/>
      <c r="H144" s="518"/>
      <c r="I144" s="517"/>
      <c r="J144" s="517"/>
      <c r="K144" s="519"/>
      <c r="L144" s="14"/>
      <c r="M144" s="14"/>
    </row>
    <row r="145" spans="2:13" ht="29.5" hidden="1" outlineLevel="1">
      <c r="B145" s="536" t="s">
        <v>336</v>
      </c>
      <c r="C145" s="537"/>
      <c r="D145" s="538"/>
      <c r="E145"/>
      <c r="F145" s="14"/>
      <c r="G145" s="517"/>
      <c r="H145" s="518"/>
      <c r="I145" s="517"/>
      <c r="J145" s="517"/>
      <c r="K145" s="519"/>
      <c r="L145" s="14"/>
      <c r="M145" s="14"/>
    </row>
    <row r="146" spans="2:13" ht="29.5" hidden="1" outlineLevel="1">
      <c r="B146" s="536" t="s">
        <v>393</v>
      </c>
      <c r="C146" s="537"/>
      <c r="D146" s="539"/>
      <c r="E146" s="3"/>
      <c r="F146" s="14"/>
      <c r="G146" s="517"/>
      <c r="H146" s="518"/>
      <c r="I146" s="517"/>
      <c r="J146" s="517"/>
      <c r="K146" s="519"/>
      <c r="L146" s="14"/>
      <c r="M146" s="14"/>
    </row>
    <row r="147" spans="2:13" ht="29.5" hidden="1" outlineLevel="1">
      <c r="B147" s="540" t="s">
        <v>476</v>
      </c>
      <c r="C147" s="537"/>
      <c r="D147" s="541"/>
      <c r="E147"/>
      <c r="F147" s="14"/>
      <c r="G147" s="517"/>
      <c r="H147" s="518"/>
      <c r="I147" s="517"/>
      <c r="J147" s="517"/>
      <c r="K147" s="519"/>
      <c r="L147" s="14"/>
      <c r="M147" s="14"/>
    </row>
    <row r="148" spans="2:13" ht="29.5" hidden="1" outlineLevel="1">
      <c r="B148" s="577" t="s">
        <v>477</v>
      </c>
      <c r="C148" s="542"/>
      <c r="D148" s="541"/>
      <c r="E148"/>
      <c r="F148" s="14"/>
      <c r="G148" s="517"/>
      <c r="H148" s="518"/>
      <c r="I148" s="517"/>
      <c r="J148" s="517"/>
      <c r="K148" s="519"/>
      <c r="L148" s="14"/>
      <c r="M148" s="14"/>
    </row>
    <row r="149" spans="2:13" ht="29.5" hidden="1" outlineLevel="1">
      <c r="B149" s="865" t="s">
        <v>888</v>
      </c>
      <c r="C149" s="537"/>
      <c r="D149" s="880">
        <f>-E59</f>
        <v>0</v>
      </c>
      <c r="E149"/>
      <c r="F149" s="14"/>
      <c r="G149" s="517"/>
      <c r="H149" s="518"/>
      <c r="I149" s="517"/>
      <c r="J149" s="517"/>
      <c r="K149" s="519"/>
      <c r="L149" s="14"/>
      <c r="M149" s="14"/>
    </row>
    <row r="150" spans="2:13" ht="29.5" hidden="1" outlineLevel="1">
      <c r="B150" s="577" t="s">
        <v>889</v>
      </c>
      <c r="C150" s="542"/>
      <c r="D150" s="880">
        <f>-E83</f>
        <v>0</v>
      </c>
      <c r="E150"/>
      <c r="F150" s="14"/>
      <c r="G150" s="517"/>
      <c r="H150" s="518"/>
      <c r="I150" s="517"/>
      <c r="J150" s="517"/>
      <c r="K150" s="519"/>
      <c r="L150" s="14"/>
      <c r="M150" s="14"/>
    </row>
    <row r="151" spans="2:13" ht="29.5" hidden="1" outlineLevel="1">
      <c r="B151" s="577" t="s">
        <v>890</v>
      </c>
      <c r="C151" s="542"/>
      <c r="D151" s="880">
        <f>-E106</f>
        <v>0</v>
      </c>
      <c r="E151"/>
      <c r="F151" s="14"/>
      <c r="G151" s="517"/>
      <c r="H151" s="518"/>
      <c r="I151" s="517"/>
      <c r="J151" s="517"/>
      <c r="K151" s="519"/>
      <c r="L151" s="14"/>
      <c r="M151" s="14"/>
    </row>
    <row r="152" spans="2:13" ht="29.5" hidden="1" outlineLevel="1">
      <c r="B152" s="577" t="s">
        <v>862</v>
      </c>
      <c r="C152" s="542"/>
      <c r="D152" s="880">
        <f>-E97</f>
        <v>0</v>
      </c>
      <c r="E152"/>
      <c r="F152" s="14"/>
      <c r="G152" s="517"/>
      <c r="H152" s="518"/>
      <c r="I152" s="517"/>
      <c r="J152" s="517"/>
      <c r="K152" s="519"/>
      <c r="L152" s="14"/>
      <c r="M152" s="14"/>
    </row>
    <row r="153" spans="2:13" ht="29.5" hidden="1" outlineLevel="1">
      <c r="B153" s="540" t="s">
        <v>891</v>
      </c>
      <c r="C153" s="537"/>
      <c r="D153" s="880">
        <f>-E113</f>
        <v>0</v>
      </c>
      <c r="E153"/>
      <c r="F153" s="14"/>
      <c r="G153" s="517"/>
      <c r="H153" s="518"/>
      <c r="I153" s="517"/>
      <c r="J153" s="517"/>
      <c r="K153" s="519"/>
      <c r="L153" s="14"/>
      <c r="M153" s="14"/>
    </row>
    <row r="154" spans="2:13" ht="29.5" hidden="1" outlineLevel="1">
      <c r="B154" s="540" t="s">
        <v>892</v>
      </c>
      <c r="C154" s="537"/>
      <c r="D154" s="880">
        <f>-E118</f>
        <v>0</v>
      </c>
      <c r="E154"/>
      <c r="F154" s="14"/>
      <c r="G154" s="517"/>
      <c r="H154" s="518"/>
      <c r="I154" s="517"/>
      <c r="J154" s="517"/>
      <c r="K154" s="520"/>
      <c r="L154" s="14"/>
      <c r="M154" s="14"/>
    </row>
    <row r="155" spans="2:13" hidden="1" outlineLevel="1">
      <c r="B155" s="540" t="s">
        <v>893</v>
      </c>
      <c r="C155" s="537"/>
      <c r="D155" s="541"/>
      <c r="E155"/>
      <c r="F155" s="14"/>
      <c r="G155" s="14"/>
      <c r="H155" s="14"/>
      <c r="I155" s="14"/>
      <c r="J155" s="14"/>
      <c r="K155" s="14"/>
      <c r="L155" s="14"/>
      <c r="M155" s="14"/>
    </row>
    <row r="156" spans="2:13" ht="18.5" hidden="1" outlineLevel="1">
      <c r="B156" s="865" t="s">
        <v>894</v>
      </c>
      <c r="C156" s="537"/>
      <c r="D156" s="543"/>
      <c r="E156"/>
      <c r="F156" s="14"/>
      <c r="G156" s="14"/>
      <c r="H156" s="14"/>
      <c r="I156" s="14"/>
      <c r="J156" s="14"/>
      <c r="K156" s="14"/>
      <c r="L156" s="14"/>
      <c r="M156" s="14"/>
    </row>
    <row r="157" spans="2:13" hidden="1" outlineLevel="1">
      <c r="B157" s="536" t="s">
        <v>342</v>
      </c>
      <c r="C157" s="537"/>
      <c r="D157" s="544">
        <f>SUM(D146:D156)</f>
        <v>0</v>
      </c>
      <c r="E157"/>
      <c r="F157" s="14"/>
      <c r="G157" s="14"/>
      <c r="H157" s="14"/>
      <c r="I157" s="14"/>
      <c r="J157" s="14"/>
      <c r="K157" s="14"/>
      <c r="L157" s="14"/>
      <c r="M157" s="14"/>
    </row>
    <row r="158" spans="2:13" hidden="1" outlineLevel="1">
      <c r="B158" s="536"/>
      <c r="C158" s="537"/>
      <c r="D158" s="538"/>
      <c r="E158"/>
      <c r="F158" s="14"/>
      <c r="G158" s="14"/>
      <c r="H158" s="14"/>
    </row>
    <row r="159" spans="2:13" hidden="1" outlineLevel="1">
      <c r="B159" s="536" t="s">
        <v>343</v>
      </c>
      <c r="C159" s="537"/>
      <c r="D159" s="538">
        <f>+D144+D157</f>
        <v>0</v>
      </c>
      <c r="E159" s="578"/>
      <c r="F159" s="14"/>
      <c r="G159" s="14"/>
      <c r="H159" s="14"/>
    </row>
    <row r="160" spans="2:13" hidden="1" outlineLevel="1">
      <c r="B160" s="536"/>
      <c r="C160" s="537"/>
      <c r="D160" s="538"/>
      <c r="E160"/>
      <c r="F160" s="14"/>
      <c r="G160" s="14"/>
      <c r="H160" s="14"/>
    </row>
    <row r="161" spans="2:8" hidden="1" outlineLevel="1">
      <c r="B161" s="536" t="s">
        <v>345</v>
      </c>
      <c r="C161" s="537"/>
      <c r="D161" s="538">
        <f>IFERROR('A2.Allocation &amp; Operating Plan'!F20,0)</f>
        <v>0</v>
      </c>
      <c r="E161"/>
      <c r="F161" s="14"/>
      <c r="G161" s="14"/>
      <c r="H161" s="14"/>
    </row>
    <row r="162" spans="2:8" hidden="1" outlineLevel="1">
      <c r="B162" s="536"/>
      <c r="C162" s="537"/>
      <c r="D162" s="538"/>
      <c r="E162"/>
      <c r="F162" s="14"/>
      <c r="G162" s="14"/>
      <c r="H162" s="14"/>
    </row>
    <row r="163" spans="2:8" hidden="1" outlineLevel="1">
      <c r="B163" s="536" t="s">
        <v>346</v>
      </c>
      <c r="C163" s="537"/>
      <c r="D163" s="538">
        <f>IF(D159&gt;D161,0,ROUND(D161-D159,2))</f>
        <v>0</v>
      </c>
      <c r="E163"/>
      <c r="F163" s="14"/>
      <c r="G163" s="14"/>
      <c r="H163" s="14"/>
    </row>
    <row r="164" spans="2:8" hidden="1" outlineLevel="1">
      <c r="B164" s="536" t="str">
        <f>IF(Table1324[[#This Row],[Amounts]]&gt;0,"Underspending of CWELCC program applied to OTEF", " ")</f>
        <v xml:space="preserve"> </v>
      </c>
      <c r="C164" s="581"/>
      <c r="D164" s="538"/>
      <c r="E164"/>
      <c r="F164" s="14"/>
      <c r="G164" s="14"/>
      <c r="H164" s="14"/>
    </row>
    <row r="165" spans="2:8" hidden="1" outlineLevel="1">
      <c r="B165" s="577" t="s">
        <v>857</v>
      </c>
      <c r="C165" s="542"/>
      <c r="D165" s="538"/>
      <c r="E165"/>
      <c r="F165" s="14"/>
      <c r="G165" s="14"/>
      <c r="H165" s="14"/>
    </row>
    <row r="166" spans="2:8" hidden="1" outlineLevel="1">
      <c r="B166" s="582" t="s">
        <v>350</v>
      </c>
      <c r="C166" s="583"/>
      <c r="D166" s="584">
        <f>ROUND(D163-D164,2)</f>
        <v>0</v>
      </c>
      <c r="E166"/>
      <c r="F166" s="521"/>
      <c r="G166" s="14"/>
      <c r="H166" s="14"/>
    </row>
    <row r="167" spans="2:8" hidden="1" outlineLevel="1">
      <c r="B167" s="585"/>
      <c r="C167" s="586"/>
      <c r="D167" s="587"/>
      <c r="E167" s="588"/>
      <c r="F167" s="14"/>
      <c r="G167" s="14"/>
      <c r="H167" s="14"/>
    </row>
    <row r="168" spans="2:8" ht="18.5" hidden="1" outlineLevel="1">
      <c r="B168" s="104" t="str">
        <f>IF(C236&gt;0,"*Important Note: CWELCC program allocation underspending of $" &amp;ROUND(C236,0)&amp; " is being applied to your OTEF grant to maximize your Cost based funding, your remaining amount in Program cost underspending is $"&amp;D166," ")</f>
        <v xml:space="preserve"> </v>
      </c>
      <c r="C168"/>
      <c r="D168" s="57"/>
      <c r="E168" s="589"/>
      <c r="F168" s="14"/>
      <c r="G168" s="14"/>
      <c r="H168" s="14"/>
    </row>
    <row r="169" spans="2:8" ht="16" hidden="1" outlineLevel="1" thickBot="1">
      <c r="B169"/>
      <c r="C169"/>
      <c r="D169"/>
      <c r="E169" s="3"/>
      <c r="F169" s="14"/>
      <c r="G169" s="14"/>
      <c r="H169" s="14"/>
    </row>
    <row r="170" spans="2:8" ht="24" hidden="1" outlineLevel="1" thickBot="1">
      <c r="B170" s="590" t="s">
        <v>373</v>
      </c>
      <c r="C170" s="591"/>
      <c r="D170" s="591"/>
      <c r="E170" s="591"/>
      <c r="F170" s="14"/>
      <c r="G170" s="14"/>
      <c r="H170" s="14"/>
    </row>
    <row r="171" spans="2:8" hidden="1" outlineLevel="1">
      <c r="B171"/>
      <c r="C171"/>
      <c r="D171"/>
      <c r="E171" s="3"/>
      <c r="F171" s="14"/>
      <c r="G171" s="14"/>
      <c r="H171" s="14"/>
    </row>
    <row r="172" spans="2:8" hidden="1" outlineLevel="1">
      <c r="B172"/>
      <c r="C172"/>
      <c r="D172"/>
      <c r="E172" s="3"/>
      <c r="F172" s="14"/>
      <c r="G172" s="14"/>
      <c r="H172" s="14"/>
    </row>
    <row r="173" spans="2:8" ht="21" hidden="1" outlineLevel="1">
      <c r="B173" s="1208" t="s">
        <v>221</v>
      </c>
      <c r="C173" s="1209"/>
      <c r="D173" s="1209"/>
      <c r="E173" s="593"/>
      <c r="F173" s="14"/>
      <c r="G173" s="14"/>
      <c r="H173" s="14"/>
    </row>
    <row r="174" spans="2:8" hidden="1" outlineLevel="1">
      <c r="B174" s="1202" t="s">
        <v>77</v>
      </c>
      <c r="C174" s="1202"/>
      <c r="D174" s="1202"/>
      <c r="E174" s="594">
        <f>IFERROR((IF(D161-D185&lt;0,0,D161-D185)),0)</f>
        <v>0</v>
      </c>
      <c r="F174" s="14"/>
      <c r="G174" s="14"/>
      <c r="H174" s="14"/>
    </row>
    <row r="175" spans="2:8" hidden="1" outlineLevel="1">
      <c r="B175" s="1202" t="s">
        <v>78</v>
      </c>
      <c r="C175" s="1202"/>
      <c r="D175" s="1202"/>
      <c r="E175" s="594">
        <f>IFERROR(ROUND(('A2.Allocation &amp; Operating Plan'!F23-E187),0),0)</f>
        <v>0</v>
      </c>
      <c r="F175" s="14"/>
      <c r="G175" s="14"/>
      <c r="H175" s="14"/>
    </row>
    <row r="176" spans="2:8" hidden="1" outlineLevel="1">
      <c r="B176" s="1202" t="s">
        <v>218</v>
      </c>
      <c r="C176" s="1202"/>
      <c r="D176" s="1202"/>
      <c r="E176" s="594">
        <f>IFERROR((IF(C196&lt;C195,0,C196-C195)),0)</f>
        <v>0</v>
      </c>
      <c r="F176" s="14"/>
      <c r="G176" s="14"/>
      <c r="H176" s="14"/>
    </row>
    <row r="177" spans="2:8" hidden="1" outlineLevel="1">
      <c r="B177" s="1203" t="s">
        <v>79</v>
      </c>
      <c r="C177" s="1203"/>
      <c r="D177" s="1203"/>
      <c r="E177" s="597">
        <f>SUM(E174:E176)</f>
        <v>0</v>
      </c>
      <c r="F177" s="14"/>
      <c r="G177" s="14"/>
      <c r="H177" s="14"/>
    </row>
    <row r="178" spans="2:8" ht="16" hidden="1" outlineLevel="1" thickBot="1">
      <c r="B178"/>
      <c r="C178"/>
      <c r="D178"/>
      <c r="E178"/>
      <c r="F178" s="14"/>
      <c r="G178" s="14"/>
      <c r="H178" s="14"/>
    </row>
    <row r="179" spans="2:8" ht="21" hidden="1" outlineLevel="1">
      <c r="B179" s="598" t="s">
        <v>238</v>
      </c>
      <c r="C179" s="599"/>
      <c r="D179" s="599"/>
      <c r="E179" s="600"/>
      <c r="F179" s="14"/>
      <c r="G179" s="14"/>
      <c r="H179" s="14"/>
    </row>
    <row r="180" spans="2:8" ht="16" hidden="1" outlineLevel="1" thickBot="1">
      <c r="B180" s="78" t="s">
        <v>80</v>
      </c>
      <c r="C180"/>
      <c r="D180"/>
      <c r="E180" s="56"/>
      <c r="F180" s="14"/>
      <c r="G180" s="14"/>
      <c r="H180" s="14"/>
    </row>
    <row r="181" spans="2:8" ht="16" hidden="1" outlineLevel="1" thickBot="1">
      <c r="B181" s="601" t="s">
        <v>361</v>
      </c>
      <c r="C181" s="602"/>
      <c r="D181" s="602"/>
      <c r="E181" s="603">
        <f>IFERROR('A2.Allocation &amp; Operating Plan'!F24,0)</f>
        <v>0</v>
      </c>
      <c r="F181" s="14"/>
      <c r="G181" s="14"/>
      <c r="H181" s="14"/>
    </row>
    <row r="182" spans="2:8" ht="16" hidden="1" outlineLevel="1" thickTop="1">
      <c r="B182" s="604"/>
      <c r="C182" s="605"/>
      <c r="D182" s="606"/>
      <c r="E182" s="607"/>
      <c r="F182" s="14"/>
      <c r="G182" s="14"/>
      <c r="H182" s="14"/>
    </row>
    <row r="183" spans="2:8" ht="31" hidden="1" outlineLevel="1">
      <c r="B183" s="608" t="s">
        <v>435</v>
      </c>
      <c r="C183" s="609"/>
      <c r="D183" s="609"/>
      <c r="E183" s="610">
        <f>IFERROR(MIN(D185,D186),0)</f>
        <v>0</v>
      </c>
      <c r="F183" s="14"/>
      <c r="G183" s="14"/>
      <c r="H183" s="14"/>
    </row>
    <row r="184" spans="2:8" hidden="1" outlineLevel="1">
      <c r="B184" s="611" t="s">
        <v>81</v>
      </c>
      <c r="C184"/>
      <c r="D184" s="612"/>
      <c r="E184" s="613"/>
      <c r="F184" s="14"/>
      <c r="G184" s="14"/>
      <c r="H184" s="14"/>
    </row>
    <row r="185" spans="2:8" hidden="1" outlineLevel="1">
      <c r="B185" s="614" t="s">
        <v>465</v>
      </c>
      <c r="C185"/>
      <c r="D185" s="612">
        <f>D159</f>
        <v>0</v>
      </c>
      <c r="E185" s="615"/>
      <c r="F185" s="14"/>
      <c r="G185" s="14"/>
      <c r="H185" s="14"/>
    </row>
    <row r="186" spans="2:8" ht="16" hidden="1" outlineLevel="1" thickBot="1">
      <c r="B186" s="616" t="s">
        <v>362</v>
      </c>
      <c r="C186" s="617"/>
      <c r="D186" s="618">
        <f>D161</f>
        <v>0</v>
      </c>
      <c r="E186" s="619"/>
      <c r="F186" s="14"/>
      <c r="G186" s="14"/>
      <c r="H186" s="14"/>
    </row>
    <row r="187" spans="2:8" ht="16" hidden="1" outlineLevel="1" thickTop="1">
      <c r="B187" s="620" t="s">
        <v>436</v>
      </c>
      <c r="C187" s="621"/>
      <c r="D187" s="622"/>
      <c r="E187" s="623">
        <f>ROUND(IF((D188+D191+D192)&gt;'A2.Allocation &amp; Operating Plan'!F23,'A2.Allocation &amp; Operating Plan'!F23,D188+D191+D192),0)</f>
        <v>0</v>
      </c>
      <c r="F187" s="14"/>
      <c r="G187" s="14"/>
      <c r="H187" s="14"/>
    </row>
    <row r="188" spans="2:8" hidden="1" outlineLevel="1">
      <c r="B188" s="624" t="s">
        <v>363</v>
      </c>
      <c r="C188"/>
      <c r="D188" s="612">
        <f>IFERROR(0.0425*E183,0)</f>
        <v>0</v>
      </c>
      <c r="E188" s="625"/>
      <c r="F188" s="14"/>
      <c r="G188" s="14"/>
      <c r="H188" s="14"/>
    </row>
    <row r="189" spans="2:8" hidden="1" outlineLevel="1">
      <c r="B189" s="626" t="s">
        <v>82</v>
      </c>
      <c r="C189"/>
      <c r="D189" s="612"/>
      <c r="E189" s="625"/>
      <c r="F189" s="14"/>
      <c r="G189" s="14"/>
      <c r="H189" s="14"/>
    </row>
    <row r="190" spans="2:8" hidden="1" outlineLevel="1">
      <c r="B190" s="627" t="s">
        <v>364</v>
      </c>
      <c r="C190" s="612">
        <f>IFERROR(E183,0)</f>
        <v>0</v>
      </c>
      <c r="D190" s="612"/>
      <c r="E190" s="56"/>
      <c r="F190" s="14"/>
      <c r="G190" s="14"/>
      <c r="H190" s="14"/>
    </row>
    <row r="191" spans="2:8" hidden="1" outlineLevel="1">
      <c r="B191" s="627" t="s">
        <v>83</v>
      </c>
      <c r="C191" s="612">
        <f>IFERROR(SUM('A2.Allocation &amp; Operating Plan'!F13:F17),0)</f>
        <v>0</v>
      </c>
      <c r="D191" s="612">
        <f>IFERROR(0.035*MIN(C190,C191),0)</f>
        <v>0</v>
      </c>
      <c r="E191" s="56"/>
      <c r="F191" s="14"/>
      <c r="G191" s="14"/>
      <c r="H191" s="14"/>
    </row>
    <row r="192" spans="2:8" ht="16" hidden="1" outlineLevel="1" thickBot="1">
      <c r="B192" s="628" t="str">
        <f>"iii. Add - $"&amp;D192&amp; " per site"</f>
        <v>iii. Add - $0 per site</v>
      </c>
      <c r="C192" s="629"/>
      <c r="D192" s="618">
        <f>IF(SUM('A2.Allocation &amp; Operating Plan'!C63:G63)=0, 0, IF('A2.Allocation &amp; Operating Plan'!I59=0, 6000, 6000/12*'A2.Allocation &amp; Operating Plan'!I59))</f>
        <v>0</v>
      </c>
      <c r="E192" s="630"/>
      <c r="F192" s="14"/>
      <c r="G192" s="14"/>
      <c r="H192" s="14"/>
    </row>
    <row r="193" spans="2:8" ht="16" hidden="1" outlineLevel="1" thickTop="1">
      <c r="B193" s="620" t="s">
        <v>437</v>
      </c>
      <c r="C193" s="621"/>
      <c r="D193" s="631"/>
      <c r="E193" s="623">
        <f>-IFERROR(MAX(C195,C196),0)</f>
        <v>0</v>
      </c>
      <c r="F193" s="14"/>
      <c r="G193" s="14"/>
      <c r="H193" s="14"/>
    </row>
    <row r="194" spans="2:8" hidden="1" outlineLevel="1">
      <c r="B194" s="632" t="s">
        <v>84</v>
      </c>
      <c r="C194"/>
      <c r="D194" s="605"/>
      <c r="E194" s="633"/>
      <c r="F194" s="14"/>
      <c r="G194" s="14"/>
      <c r="H194" s="14"/>
    </row>
    <row r="195" spans="2:8" hidden="1" outlineLevel="1">
      <c r="B195" s="624" t="s">
        <v>365</v>
      </c>
      <c r="C195" s="612">
        <f>-IFERROR('A2.Allocation &amp; Operating Plan'!F21,0)</f>
        <v>0</v>
      </c>
      <c r="D195" s="605"/>
      <c r="E195" s="633"/>
      <c r="F195" s="14"/>
    </row>
    <row r="196" spans="2:8" ht="16" hidden="1" outlineLevel="1" thickBot="1">
      <c r="B196" s="634" t="s">
        <v>366</v>
      </c>
      <c r="C196" s="618">
        <f>-D139</f>
        <v>0</v>
      </c>
      <c r="D196" s="635"/>
      <c r="E196" s="636"/>
      <c r="F196" s="14"/>
    </row>
    <row r="197" spans="2:8" ht="16.5" hidden="1" outlineLevel="1" thickTop="1" thickBot="1">
      <c r="B197" s="637" t="s">
        <v>219</v>
      </c>
      <c r="C197" s="638"/>
      <c r="D197" s="639"/>
      <c r="E197" s="640">
        <f>IFERROR(E183+E187+E193,0)</f>
        <v>0</v>
      </c>
      <c r="F197" s="14"/>
    </row>
    <row r="198" spans="2:8" ht="16" hidden="1" outlineLevel="1" thickBot="1">
      <c r="B198" s="641"/>
      <c r="C198" s="641"/>
      <c r="D198" s="641"/>
      <c r="E198" s="642"/>
      <c r="F198" s="14"/>
    </row>
    <row r="199" spans="2:8" ht="19" hidden="1" outlineLevel="1" thickBot="1">
      <c r="B199" s="643" t="s">
        <v>220</v>
      </c>
      <c r="C199" s="644"/>
      <c r="D199" s="644"/>
      <c r="E199" s="645">
        <f>IF(E197&lt;0,0,E181-E197)</f>
        <v>0</v>
      </c>
    </row>
    <row r="200" spans="2:8" hidden="1" collapsed="1"/>
  </sheetData>
  <sheetProtection algorithmName="SHA-512" hashValue="4JSHIaI8ahbYYg2tl9/O0wDS8oV8WEic59GemRiRmqo8aGcv3yHyT9ijPNFo1G3knLIkR8D1r9Gfh1CRdACN7A==" saltValue="QHzQq9TJmh9fySqHRq6c5w==" spinCount="100000" sheet="1"/>
  <protectedRanges>
    <protectedRange sqref="B78 B74 B69 B60 F72:F75 D109:F109 F119:F121 E34:F34 F114:F117 F104:F108 B108:B109 F24:F29 F18:F21 B99:B101 F81:F102 F63:F69 F77:F79 D122:F122 D37:F37 D45:F45 F38:F44 D53:F53 F46:F52 F54:F60" name="allow"/>
    <protectedRange sqref="B28:B29" name="allow_1"/>
    <protectedRange sqref="D18:E19" name="allow_5"/>
    <protectedRange sqref="E24:E27 E22:F23" name="allow_5_1"/>
    <protectedRange sqref="D28:D29 D20:D26" name="allow_5_1_1"/>
    <protectedRange sqref="E20:E21" name="allow_5_1_2"/>
    <protectedRange sqref="E28:E29" name="allow_5_1_3"/>
    <protectedRange sqref="D38:D44" name="allow_2"/>
    <protectedRange sqref="E38:E44" name="allow_3"/>
    <protectedRange sqref="D46:D52" name="allow_6"/>
    <protectedRange sqref="E46:E52" name="allow_7"/>
    <protectedRange sqref="D54:E60" name="allow_8"/>
    <protectedRange sqref="D63:E69" name="allow_9"/>
    <protectedRange sqref="D72:E74" name="allow_10"/>
    <protectedRange sqref="D77:E78" name="allow_11"/>
    <protectedRange sqref="D81:E101" name="allow_12"/>
    <protectedRange sqref="D105:E108" name="allow_13"/>
    <protectedRange sqref="D114:D116" name="allow_15"/>
    <protectedRange sqref="D119:D121" name="allow_16"/>
  </protectedRanges>
  <mergeCells count="22">
    <mergeCell ref="B134:C134"/>
    <mergeCell ref="B1:F1"/>
    <mergeCell ref="B2:F2"/>
    <mergeCell ref="B3:G3"/>
    <mergeCell ref="H9:I12"/>
    <mergeCell ref="E15:F15"/>
    <mergeCell ref="H18:H19"/>
    <mergeCell ref="H34:H35"/>
    <mergeCell ref="B129:E129"/>
    <mergeCell ref="B131:C131"/>
    <mergeCell ref="B132:C132"/>
    <mergeCell ref="B133:C133"/>
    <mergeCell ref="B174:D174"/>
    <mergeCell ref="B175:D175"/>
    <mergeCell ref="B176:D176"/>
    <mergeCell ref="B177:D177"/>
    <mergeCell ref="B136:C136"/>
    <mergeCell ref="B137:C137"/>
    <mergeCell ref="B138:C138"/>
    <mergeCell ref="B139:C139"/>
    <mergeCell ref="B141:C141"/>
    <mergeCell ref="B173:D173"/>
  </mergeCells>
  <conditionalFormatting sqref="E15">
    <cfRule type="cellIs" dxfId="105" priority="6" operator="notEqual">
      <formula>""</formula>
    </cfRule>
  </conditionalFormatting>
  <conditionalFormatting sqref="F7:F14">
    <cfRule type="cellIs" dxfId="104" priority="3" operator="notEqual">
      <formula>""</formula>
    </cfRule>
  </conditionalFormatting>
  <conditionalFormatting sqref="G18">
    <cfRule type="expression" priority="9">
      <formula>"if($D$17&gt;1 and $E$17 = 0,""red"",blue"")"</formula>
    </cfRule>
  </conditionalFormatting>
  <conditionalFormatting sqref="G38:G44 G46:G52 G54:G60">
    <cfRule type="expression" dxfId="103" priority="8">
      <formula>AND(ISNUMBER(D38), E38="")</formula>
    </cfRule>
  </conditionalFormatting>
  <conditionalFormatting sqref="G63:G69">
    <cfRule type="expression" dxfId="102" priority="7">
      <formula>AND(ISNUMBER(D63), E63="")</formula>
    </cfRule>
  </conditionalFormatting>
  <conditionalFormatting sqref="H13:H15">
    <cfRule type="cellIs" dxfId="101" priority="5" operator="notEqual">
      <formula>""</formula>
    </cfRule>
  </conditionalFormatting>
  <dataValidations count="6">
    <dataValidation type="list" allowBlank="1" showInputMessage="1" showErrorMessage="1" sqref="E15:F15" xr:uid="{B43C7915-AECC-419A-AEFC-D02584A66A25}">
      <formula1>$XEN$9:$XEN$13</formula1>
    </dataValidation>
    <dataValidation type="decimal" allowBlank="1" showInputMessage="1" showErrorMessage="1" sqref="F54:F60 F38:F44 F46:F52" xr:uid="{CAE449A9-7F4B-423A-99A2-1572F4965E01}">
      <formula1>0</formula1>
      <formula2>1000000000000000000</formula2>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1" xr:uid="{783CE5A3-6B27-4F42-B1AB-27645A902328}">
      <formula1>0</formula1>
      <formula2>365</formula2>
    </dataValidation>
    <dataValidation type="list" allowBlank="1" showInputMessage="1" showErrorMessage="1" sqref="F12" xr:uid="{32B6C4E4-A486-4F38-964E-47420D2666C2}">
      <formula1>$XEI$9:$XEI$11</formula1>
    </dataValidation>
    <dataValidation type="list" allowBlank="1" showInputMessage="1" showErrorMessage="1" sqref="F13" xr:uid="{FA3D695E-2715-4535-8D4A-D0A03134D9C5}">
      <formula1>$XEK$9:$XEK$12</formula1>
    </dataValidation>
    <dataValidation type="list" allowBlank="1" showInputMessage="1" showErrorMessage="1" sqref="F14" xr:uid="{B8A5D9EF-709D-4253-BB0D-F6543F126C6F}">
      <formula1>$XEM$9:$XEM$10</formula1>
    </dataValidation>
  </dataValidations>
  <pageMargins left="0.7" right="0.7" top="0.75" bottom="0.75" header="0.3" footer="0.3"/>
  <pageSetup scale="54" orientation="landscape"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ROP Word" ma:contentTypeID="0x0101006450AF52053E4366878046AAF3AB30AB00F4DA677B379E004E95BE8618F936A982" ma:contentTypeVersion="30" ma:contentTypeDescription="Basis of all company Word documents." ma:contentTypeScope="" ma:versionID="5a4741a95af685b2ec19bf363ed3eb4d">
  <xsd:schema xmlns:xsd="http://www.w3.org/2001/XMLSchema" xmlns:xs="http://www.w3.org/2001/XMLSchema" xmlns:p="http://schemas.microsoft.com/office/2006/metadata/properties" xmlns:ns2="821ebe7e-5b53-4faa-abb9-4a80eed697b5" xmlns:ns3="165b19e7-bd48-44bc-ae9f-d38b7c2f2ede" targetNamespace="http://schemas.microsoft.com/office/2006/metadata/properties" ma:root="true" ma:fieldsID="12d83852e5eab7ca28e5e3e1a33a7fb4" ns2:_="" ns3:_="">
    <xsd:import namespace="821ebe7e-5b53-4faa-abb9-4a80eed697b5"/>
    <xsd:import namespace="165b19e7-bd48-44bc-ae9f-d38b7c2f2ede"/>
    <xsd:element name="properties">
      <xsd:complexType>
        <xsd:sequence>
          <xsd:element name="documentManagement">
            <xsd:complexType>
              <xsd:all>
                <xsd:element ref="ns2:_dlc_DocId" minOccurs="0"/>
                <xsd:element ref="ns2:_dlc_DocIdUrl" minOccurs="0"/>
                <xsd:element ref="ns2:_dlc_DocIdPersistId" minOccurs="0"/>
                <xsd:element ref="ns2:b84c496a5d0b4e848eae240e679f45e7" minOccurs="0"/>
                <xsd:element ref="ns2:TaxCatchAll" minOccurs="0"/>
                <xsd:element ref="ns2:TaxCatchAllLabel" minOccurs="0"/>
                <xsd:element ref="ns2:oaba50052a024fb29595ecca5fbbaa4e" minOccurs="0"/>
                <xsd:element ref="ns2:d4d6d7f2852d41a09afacf0336fedee9" minOccurs="0"/>
                <xsd:element ref="ns2:if2ef2b6bf4346d0a9a60e9784f95a0d" minOccurs="0"/>
                <xsd:element ref="ns2:i7c7954a6da6485baed72bf62adc9a98" minOccurs="0"/>
                <xsd:element ref="ns2:i09ce8ea77e04d5b937fa0a29b257c75" minOccurs="0"/>
                <xsd:element ref="ns2:SIZADate" minOccurs="0"/>
                <xsd:element ref="ns2:SIZASubject" minOccurs="0"/>
                <xsd:element ref="ns2:SIZAAuthor" minOccurs="0"/>
                <xsd:element ref="ns2:c816cc0c51d043a4907164997a81cf13" minOccurs="0"/>
                <xsd:element ref="ns2:leed0c44d2ac42d791805961a1e6b6e0" minOccurs="0"/>
                <xsd:element ref="ns2:SIZARecordsEventDate" minOccurs="0"/>
                <xsd:element ref="ns3:MediaServiceMetadata" minOccurs="0"/>
                <xsd:element ref="ns3:MediaServiceFastMetadata" minOccurs="0"/>
                <xsd:element ref="ns3:MediaServiceDateTaken" minOccurs="0"/>
                <xsd:element ref="ns3:MediaLengthInSeconds" minOccurs="0"/>
                <xsd:element ref="ns2:SharedWithUsers" minOccurs="0"/>
                <xsd:element ref="ns2:SharedWithDetails" minOccurs="0"/>
                <xsd:element ref="ns3:lcf76f155ced4ddcb4097134ff3c332f" minOccurs="0"/>
                <xsd:element ref="ns3:MediaServiceGenerationTime" minOccurs="0"/>
                <xsd:element ref="ns3:MediaServiceEventHashCode" minOccurs="0"/>
                <xsd:element ref="ns3:MediaServiceOCR"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1ebe7e-5b53-4faa-abb9-4a80eed697b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b84c496a5d0b4e848eae240e679f45e7" ma:index="11" nillable="true" ma:taxonomy="true" ma:internalName="b84c496a5d0b4e848eae240e679f45e7" ma:taxonomyFieldName="SIZADepartment" ma:displayName="Department" ma:default="1;#Human Services|118fdf37-3eb0-4f3d-9794-08c6dc12769c" ma:fieldId="{b84c496a-5d0b-4e84-8eae-240e679f45e7}" ma:sspId="fa93b17b-eca5-4df2-9431-61ba77a6f1f7" ma:termSetId="60320ae7-a7b2-4969-932f-f2bb791727f2"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ca5e71e-6d80-4314-bc5c-b8377f95adfe}" ma:internalName="TaxCatchAll" ma:showField="CatchAllData" ma:web="821ebe7e-5b53-4faa-abb9-4a80eed697b5">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ca5e71e-6d80-4314-bc5c-b8377f95adfe}" ma:internalName="TaxCatchAllLabel" ma:readOnly="true" ma:showField="CatchAllDataLabel" ma:web="821ebe7e-5b53-4faa-abb9-4a80eed697b5">
      <xsd:complexType>
        <xsd:complexContent>
          <xsd:extension base="dms:MultiChoiceLookup">
            <xsd:sequence>
              <xsd:element name="Value" type="dms:Lookup" maxOccurs="unbounded" minOccurs="0" nillable="true"/>
            </xsd:sequence>
          </xsd:extension>
        </xsd:complexContent>
      </xsd:complexType>
    </xsd:element>
    <xsd:element name="oaba50052a024fb29595ecca5fbbaa4e" ma:index="15" nillable="true" ma:taxonomy="true" ma:internalName="oaba50052a024fb29595ecca5fbbaa4e" ma:taxonomyFieldName="SIZADivision" ma:displayName="Division" ma:default="2;#Early Years and Child Care Services|ce06aa10-9999-42e6-922f-4e4b46a41053" ma:fieldId="{8aba5005-2a02-4fb2-9595-ecca5fbbaa4e}" ma:sspId="fa93b17b-eca5-4df2-9431-61ba77a6f1f7" ma:termSetId="b837b880-3aa0-41f7-886b-2a1389d416d0" ma:anchorId="00000000-0000-0000-0000-000000000000" ma:open="false" ma:isKeyword="false">
      <xsd:complexType>
        <xsd:sequence>
          <xsd:element ref="pc:Terms" minOccurs="0" maxOccurs="1"/>
        </xsd:sequence>
      </xsd:complexType>
    </xsd:element>
    <xsd:element name="d4d6d7f2852d41a09afacf0336fedee9" ma:index="17" nillable="true" ma:taxonomy="true" ma:internalName="d4d6d7f2852d41a09afacf0336fedee9" ma:taxonomyFieldName="SIZASection" ma:displayName="Section" ma:default="3;#Communications|c6d9d51b-55c7-4d1b-a96f-1883fe1d44e4" ma:fieldId="{d4d6d7f2-852d-41a0-9afa-cf0336fedee9}" ma:sspId="fa93b17b-eca5-4df2-9431-61ba77a6f1f7" ma:termSetId="11c1e720-e982-466a-aacd-09d4c23fdbc0" ma:anchorId="00000000-0000-0000-0000-000000000000" ma:open="false" ma:isKeyword="false">
      <xsd:complexType>
        <xsd:sequence>
          <xsd:element ref="pc:Terms" minOccurs="0" maxOccurs="1"/>
        </xsd:sequence>
      </xsd:complexType>
    </xsd:element>
    <xsd:element name="if2ef2b6bf4346d0a9a60e9784f95a0d" ma:index="19" nillable="true" ma:taxonomy="true" ma:internalName="if2ef2b6bf4346d0a9a60e9784f95a0d" ma:taxonomyFieldName="SIZAService" ma:displayName="Service" ma:readOnly="false" ma:fieldId="{2f2ef2b6-bf43-46d0-a9a6-0e9784f95a0d}" ma:sspId="fa93b17b-eca5-4df2-9431-61ba77a6f1f7" ma:termSetId="b77d1e8a-5db7-483c-9b23-740035cc05a6" ma:anchorId="00000000-0000-0000-0000-000000000000" ma:open="false" ma:isKeyword="false">
      <xsd:complexType>
        <xsd:sequence>
          <xsd:element ref="pc:Terms" minOccurs="0" maxOccurs="1"/>
        </xsd:sequence>
      </xsd:complexType>
    </xsd:element>
    <xsd:element name="i7c7954a6da6485baed72bf62adc9a98" ma:index="21" nillable="true" ma:taxonomy="true" ma:internalName="i7c7954a6da6485baed72bf62adc9a98" ma:taxonomyFieldName="SIZADocumentType" ma:displayName="Document Type" ma:readOnly="false" ma:fieldId="{27c7954a-6da6-485b-aed7-2bf62adc9a98}" ma:sspId="fa93b17b-eca5-4df2-9431-61ba77a6f1f7" ma:termSetId="a30e0fc5-ef8a-411d-ac18-85e301421e76" ma:anchorId="00000000-0000-0000-0000-000000000000" ma:open="false" ma:isKeyword="false">
      <xsd:complexType>
        <xsd:sequence>
          <xsd:element ref="pc:Terms" minOccurs="0" maxOccurs="1"/>
        </xsd:sequence>
      </xsd:complexType>
    </xsd:element>
    <xsd:element name="i09ce8ea77e04d5b937fa0a29b257c75" ma:index="23" nillable="true" ma:taxonomy="true" ma:internalName="i09ce8ea77e04d5b937fa0a29b257c75" ma:taxonomyFieldName="SIZADocumentSubType" ma:displayName="Document SubType" ma:readOnly="false" ma:fieldId="{209ce8ea-77e0-4d5b-937f-a0a29b257c75}" ma:sspId="fa93b17b-eca5-4df2-9431-61ba77a6f1f7" ma:termSetId="9ba2e993-e3a4-40d4-af48-5ac0b9f0db0c" ma:anchorId="00000000-0000-0000-0000-000000000000" ma:open="false" ma:isKeyword="false">
      <xsd:complexType>
        <xsd:sequence>
          <xsd:element ref="pc:Terms" minOccurs="0" maxOccurs="1"/>
        </xsd:sequence>
      </xsd:complexType>
    </xsd:element>
    <xsd:element name="SIZADate" ma:index="25" nillable="true" ma:displayName="Date" ma:description="The date of the document." ma:internalName="SIZADate" ma:readOnly="false">
      <xsd:simpleType>
        <xsd:restriction base="dms:DateTime"/>
      </xsd:simpleType>
    </xsd:element>
    <xsd:element name="SIZASubject" ma:index="26" nillable="true" ma:displayName="Subject" ma:description="The subject of the document." ma:internalName="SIZASubject" ma:readOnly="false">
      <xsd:simpleType>
        <xsd:restriction base="dms:Text"/>
      </xsd:simpleType>
    </xsd:element>
    <xsd:element name="SIZAAuthor" ma:index="27" nillable="true" ma:displayName="Author" ma:description="The author of the document." ma:internalName="SIZAAutho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816cc0c51d043a4907164997a81cf13" ma:index="28" nillable="true" ma:taxonomy="true" ma:internalName="c816cc0c51d043a4907164997a81cf13" ma:taxonomyFieldName="SIZAKeywords" ma:displayName="Additional Tags" ma:readOnly="false" ma:fieldId="{c816cc0c-51d0-43a4-9071-64997a81cf13}" ma:sspId="fa93b17b-eca5-4df2-9431-61ba77a6f1f7" ma:termSetId="c9229c1c-9cd4-4e27-a7aa-176e35bc250b" ma:anchorId="00000000-0000-0000-0000-000000000000" ma:open="false" ma:isKeyword="false">
      <xsd:complexType>
        <xsd:sequence>
          <xsd:element ref="pc:Terms" minOccurs="0" maxOccurs="1"/>
        </xsd:sequence>
      </xsd:complexType>
    </xsd:element>
    <xsd:element name="leed0c44d2ac42d791805961a1e6b6e0" ma:index="30" nillable="true" ma:taxonomy="true" ma:internalName="leed0c44d2ac42d791805961a1e6b6e0" ma:taxonomyFieldName="SIZARecordClassification" ma:displayName="Records Classification" ma:readOnly="false" ma:fieldId="{5eed0c44-d2ac-42d7-9180-5961a1e6b6e0}" ma:sspId="fa93b17b-eca5-4df2-9431-61ba77a6f1f7" ma:termSetId="4de2fedc-4bea-4300-87fb-a9dd50186fcb" ma:anchorId="00000000-0000-0000-0000-000000000000" ma:open="false" ma:isKeyword="false">
      <xsd:complexType>
        <xsd:sequence>
          <xsd:element ref="pc:Terms" minOccurs="0" maxOccurs="1"/>
        </xsd:sequence>
      </xsd:complexType>
    </xsd:element>
    <xsd:element name="SIZARecordsEventDate" ma:index="32" nillable="true" ma:displayName="Records Event Date" ma:description="Records Event Date" ma:internalName="SIZARecordsEventDate" ma:readOnly="false">
      <xsd:simpleType>
        <xsd:restriction base="dms:DateTime"/>
      </xsd:simpleType>
    </xsd:element>
    <xsd:element name="SharedWithUsers" ma:index="3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5b19e7-bd48-44bc-ae9f-d38b7c2f2ede" elementFormDefault="qualified">
    <xsd:import namespace="http://schemas.microsoft.com/office/2006/documentManagement/types"/>
    <xsd:import namespace="http://schemas.microsoft.com/office/infopath/2007/PartnerControls"/>
    <xsd:element name="MediaServiceMetadata" ma:index="33" nillable="true" ma:displayName="MediaServiceMetadata" ma:hidden="true" ma:internalName="MediaServiceMetadata" ma:readOnly="true">
      <xsd:simpleType>
        <xsd:restriction base="dms:Note"/>
      </xsd:simpleType>
    </xsd:element>
    <xsd:element name="MediaServiceFastMetadata" ma:index="34" nillable="true" ma:displayName="MediaServiceFastMetadata" ma:hidden="true" ma:internalName="MediaServiceFastMetadata" ma:readOnly="true">
      <xsd:simpleType>
        <xsd:restriction base="dms:Note"/>
      </xsd:simpleType>
    </xsd:element>
    <xsd:element name="MediaServiceDateTaken" ma:index="35" nillable="true" ma:displayName="MediaServiceDateTaken" ma:hidden="true" ma:indexed="true" ma:internalName="MediaServiceDateTaken"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fa93b17b-eca5-4df2-9431-61ba77a6f1f7" ma:termSetId="09814cd3-568e-fe90-9814-8d621ff8fb84" ma:anchorId="fba54fb3-c3e1-fe81-a776-ca4b69148c4d" ma:open="true" ma:isKeyword="false">
      <xsd:complexType>
        <xsd:sequence>
          <xsd:element ref="pc:Terms" minOccurs="0" maxOccurs="1"/>
        </xsd:sequence>
      </xsd:complexType>
    </xsd:element>
    <xsd:element name="MediaServiceGenerationTime" ma:index="41" nillable="true" ma:displayName="MediaServiceGenerationTime" ma:hidden="true" ma:internalName="MediaServiceGenerationTime" ma:readOnly="true">
      <xsd:simpleType>
        <xsd:restriction base="dms:Text"/>
      </xsd:simpleType>
    </xsd:element>
    <xsd:element name="MediaServiceEventHashCode" ma:index="42" nillable="true" ma:displayName="MediaServiceEventHashCode" ma:hidden="true" ma:internalName="MediaServiceEventHashCode" ma:readOnly="true">
      <xsd:simpleType>
        <xsd:restriction base="dms:Text"/>
      </xsd:simpleType>
    </xsd:element>
    <xsd:element name="MediaServiceOCR" ma:index="43" nillable="true" ma:displayName="Extracted Text" ma:internalName="MediaServiceOCR" ma:readOnly="true">
      <xsd:simpleType>
        <xsd:restriction base="dms:Note">
          <xsd:maxLength value="255"/>
        </xsd:restriction>
      </xsd:simpleType>
    </xsd:element>
    <xsd:element name="MediaServiceLocation" ma:index="44" nillable="true" ma:displayName="Location" ma:indexed="true" ma:internalName="MediaServiceLocation" ma:readOnly="true">
      <xsd:simpleType>
        <xsd:restriction base="dms:Text"/>
      </xsd:simpleType>
    </xsd:element>
    <xsd:element name="MediaServiceObjectDetectorVersions" ma:index="45" nillable="true" ma:displayName="MediaServiceObjectDetectorVersions" ma:hidden="true" ma:indexed="true" ma:internalName="MediaServiceObjectDetectorVersions"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b84c496a5d0b4e848eae240e679f45e7 xmlns="821ebe7e-5b53-4faa-abb9-4a80eed697b5">
      <Terms xmlns="http://schemas.microsoft.com/office/infopath/2007/PartnerControls">
        <TermInfo xmlns="http://schemas.microsoft.com/office/infopath/2007/PartnerControls">
          <TermName xmlns="http://schemas.microsoft.com/office/infopath/2007/PartnerControls">Human Services</TermName>
          <TermId xmlns="http://schemas.microsoft.com/office/infopath/2007/PartnerControls">118fdf37-3eb0-4f3d-9794-08c6dc12769c</TermId>
        </TermInfo>
      </Terms>
    </b84c496a5d0b4e848eae240e679f45e7>
    <lcf76f155ced4ddcb4097134ff3c332f xmlns="165b19e7-bd48-44bc-ae9f-d38b7c2f2ede">
      <Terms xmlns="http://schemas.microsoft.com/office/infopath/2007/PartnerControls"/>
    </lcf76f155ced4ddcb4097134ff3c332f>
    <i7c7954a6da6485baed72bf62adc9a98 xmlns="821ebe7e-5b53-4faa-abb9-4a80eed697b5">
      <Terms xmlns="http://schemas.microsoft.com/office/infopath/2007/PartnerControls"/>
    </i7c7954a6da6485baed72bf62adc9a98>
    <i09ce8ea77e04d5b937fa0a29b257c75 xmlns="821ebe7e-5b53-4faa-abb9-4a80eed697b5">
      <Terms xmlns="http://schemas.microsoft.com/office/infopath/2007/PartnerControls"/>
    </i09ce8ea77e04d5b937fa0a29b257c75>
    <leed0c44d2ac42d791805961a1e6b6e0 xmlns="821ebe7e-5b53-4faa-abb9-4a80eed697b5">
      <Terms xmlns="http://schemas.microsoft.com/office/infopath/2007/PartnerControls"/>
    </leed0c44d2ac42d791805961a1e6b6e0>
    <oaba50052a024fb29595ecca5fbbaa4e xmlns="821ebe7e-5b53-4faa-abb9-4a80eed697b5">
      <Terms xmlns="http://schemas.microsoft.com/office/infopath/2007/PartnerControls">
        <TermInfo xmlns="http://schemas.microsoft.com/office/infopath/2007/PartnerControls">
          <TermName xmlns="http://schemas.microsoft.com/office/infopath/2007/PartnerControls">Early Years and Child Care Services</TermName>
          <TermId xmlns="http://schemas.microsoft.com/office/infopath/2007/PartnerControls">ce06aa10-9999-42e6-922f-4e4b46a41053</TermId>
        </TermInfo>
      </Terms>
    </oaba50052a024fb29595ecca5fbbaa4e>
    <if2ef2b6bf4346d0a9a60e9784f95a0d xmlns="821ebe7e-5b53-4faa-abb9-4a80eed697b5">
      <Terms xmlns="http://schemas.microsoft.com/office/infopath/2007/PartnerControls"/>
    </if2ef2b6bf4346d0a9a60e9784f95a0d>
    <SIZAAuthor xmlns="821ebe7e-5b53-4faa-abb9-4a80eed697b5">
      <UserInfo>
        <DisplayName/>
        <AccountId xsi:nil="true"/>
        <AccountType/>
      </UserInfo>
    </SIZAAuthor>
    <SIZADate xmlns="821ebe7e-5b53-4faa-abb9-4a80eed697b5" xsi:nil="true"/>
    <c816cc0c51d043a4907164997a81cf13 xmlns="821ebe7e-5b53-4faa-abb9-4a80eed697b5">
      <Terms xmlns="http://schemas.microsoft.com/office/infopath/2007/PartnerControls"/>
    </c816cc0c51d043a4907164997a81cf13>
    <SIZARecordsEventDate xmlns="821ebe7e-5b53-4faa-abb9-4a80eed697b5" xsi:nil="true"/>
    <d4d6d7f2852d41a09afacf0336fedee9 xmlns="821ebe7e-5b53-4faa-abb9-4a80eed697b5">
      <Terms xmlns="http://schemas.microsoft.com/office/infopath/2007/PartnerControls">
        <TermInfo xmlns="http://schemas.microsoft.com/office/infopath/2007/PartnerControls">
          <TermName xmlns="http://schemas.microsoft.com/office/infopath/2007/PartnerControls">Funding and Program Administration</TermName>
          <TermId xmlns="http://schemas.microsoft.com/office/infopath/2007/PartnerControls">bc19dac2-fc19-4cc5-8059-845f9493924a</TermId>
        </TermInfo>
      </Terms>
    </d4d6d7f2852d41a09afacf0336fedee9>
    <SIZASubject xmlns="821ebe7e-5b53-4faa-abb9-4a80eed697b5" xsi:nil="true"/>
    <TaxCatchAll xmlns="821ebe7e-5b53-4faa-abb9-4a80eed697b5">
      <Value>408</Value>
      <Value>2</Value>
      <Value>1</Value>
    </TaxCatchAll>
    <_dlc_DocId xmlns="821ebe7e-5b53-4faa-abb9-4a80eed697b5">RZVXNEC2MVYU-131264259-7478</_dlc_DocId>
    <_dlc_DocIdUrl xmlns="821ebe7e-5b53-4faa-abb9-4a80eed697b5">
      <Url>https://peelregionca.sharepoint.com/teams/S344/_layouts/15/DocIdRedir.aspx?ID=RZVXNEC2MVYU-131264259-7478</Url>
      <Description>RZVXNEC2MVYU-131264259-7478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9BE81F3-CC40-4DE2-B726-C94EE9A9A550}">
  <ds:schemaRefs>
    <ds:schemaRef ds:uri="http://schemas.microsoft.com/sharepoint/v3/contenttype/forms"/>
  </ds:schemaRefs>
</ds:datastoreItem>
</file>

<file path=customXml/itemProps2.xml><?xml version="1.0" encoding="utf-8"?>
<ds:datastoreItem xmlns:ds="http://schemas.openxmlformats.org/officeDocument/2006/customXml" ds:itemID="{4AE4B90F-0D02-4B98-92CB-7C17FBCD5248}"/>
</file>

<file path=customXml/itemProps3.xml><?xml version="1.0" encoding="utf-8"?>
<ds:datastoreItem xmlns:ds="http://schemas.openxmlformats.org/officeDocument/2006/customXml" ds:itemID="{269666AC-06A2-4BDC-BF89-0EE09CADD0BF}">
  <ds:schemaRefs>
    <ds:schemaRef ds:uri="http://purl.org/dc/elements/1.1/"/>
    <ds:schemaRef ds:uri="9a8a9177-1f34-46f8-b9c2-631211c96abd"/>
    <ds:schemaRef ds:uri="http://schemas.microsoft.com/office/infopath/2007/PartnerControls"/>
    <ds:schemaRef ds:uri="http://schemas.microsoft.com/office/2006/metadata/properties"/>
    <ds:schemaRef ds:uri="http://schemas.microsoft.com/office/2006/documentManagement/types"/>
    <ds:schemaRef ds:uri="http://www.w3.org/XML/1998/namespace"/>
    <ds:schemaRef ds:uri="http://purl.org/dc/dcmitype/"/>
    <ds:schemaRef ds:uri="http://purl.org/dc/terms/"/>
    <ds:schemaRef ds:uri="http://schemas.openxmlformats.org/package/2006/metadata/core-properties"/>
    <ds:schemaRef ds:uri="644cac2e-9ecb-4691-badc-8c3cd87f9453"/>
  </ds:schemaRefs>
</ds:datastoreItem>
</file>

<file path=customXml/itemProps4.xml><?xml version="1.0" encoding="utf-8"?>
<ds:datastoreItem xmlns:ds="http://schemas.openxmlformats.org/officeDocument/2006/customXml" ds:itemID="{29387D6C-7896-431D-B844-82281626738F}"/>
</file>

<file path=docMetadata/LabelInfo.xml><?xml version="1.0" encoding="utf-8"?>
<clbl:labelList xmlns:clbl="http://schemas.microsoft.com/office/2020/mipLabelMetadata">
  <clbl:label id="{356f99f3-9d86-47a1-8203-3b41b1cb0c68}" enabled="0" method="" siteId="{356f99f3-9d86-47a1-8203-3b41b1cb0c6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29</vt:i4>
      </vt:variant>
    </vt:vector>
  </HeadingPairs>
  <TitlesOfParts>
    <vt:vector size="59" baseType="lpstr">
      <vt:lpstr>A1. Identification</vt:lpstr>
      <vt:lpstr>A2.Allocation &amp; Operating Plan</vt:lpstr>
      <vt:lpstr>A3. Peel Region Grants</vt:lpstr>
      <vt:lpstr>A4. KPIs</vt:lpstr>
      <vt:lpstr>A5. Financial Position</vt:lpstr>
      <vt:lpstr>A6a. Operations-Site 1</vt:lpstr>
      <vt:lpstr>A11.SFR&amp; Attestation Site 1</vt:lpstr>
      <vt:lpstr>A12. YND Reconciliation Site 1</vt:lpstr>
      <vt:lpstr>A6b. Operations-Site 2</vt:lpstr>
      <vt:lpstr>A11.SFR&amp; Attestation Site 2</vt:lpstr>
      <vt:lpstr>A12. YND Reconciliation Site 2</vt:lpstr>
      <vt:lpstr>A6c. Operations-Site 3</vt:lpstr>
      <vt:lpstr>A11.SFR&amp; Attestation Site 3</vt:lpstr>
      <vt:lpstr>A12. YND Reconciliation Site 3</vt:lpstr>
      <vt:lpstr>A6d. Operations-Site 4</vt:lpstr>
      <vt:lpstr>A11.SFR&amp; Attestation Site 4</vt:lpstr>
      <vt:lpstr>A12. YND Reconciliation Site 4</vt:lpstr>
      <vt:lpstr>A6e. Operations-Site 5</vt:lpstr>
      <vt:lpstr>A11.SFR&amp; Attestation Site 5</vt:lpstr>
      <vt:lpstr>A12. YND Reconciliation Site 5</vt:lpstr>
      <vt:lpstr>A6. Operations_Consolidated</vt:lpstr>
      <vt:lpstr>A7. 2025 CWELCC &amp; OTEF Recon</vt:lpstr>
      <vt:lpstr>A8. GovGrants input</vt:lpstr>
      <vt:lpstr>A9. SummaryOfReconciliations </vt:lpstr>
      <vt:lpstr>A10. Definition Code</vt:lpstr>
      <vt:lpstr>A11.Licensee's SFR&amp; Attestation</vt:lpstr>
      <vt:lpstr>A12. YND Reconciliation</vt:lpstr>
      <vt:lpstr>Hide- CSV file</vt:lpstr>
      <vt:lpstr>Hide- CSV file - Consolidated</vt:lpstr>
      <vt:lpstr>Hide -Financial Health Score</vt:lpstr>
      <vt:lpstr>'A12. YND Reconciliation'!ActualProgramCosts</vt:lpstr>
      <vt:lpstr>'A12. YND Reconciliation Site 2'!ActualProgramCosts</vt:lpstr>
      <vt:lpstr>'A12. YND Reconciliation Site 3'!ActualProgramCosts</vt:lpstr>
      <vt:lpstr>'A12. YND Reconciliation Site 4'!ActualProgramCosts</vt:lpstr>
      <vt:lpstr>'A12. YND Reconciliation Site 5'!ActualProgramCosts</vt:lpstr>
      <vt:lpstr>ActualProgramCosts</vt:lpstr>
      <vt:lpstr>'A12. YND Reconciliation'!BenchmarkAllocation</vt:lpstr>
      <vt:lpstr>'A12. YND Reconciliation Site 2'!BenchmarkAllocation</vt:lpstr>
      <vt:lpstr>'A12. YND Reconciliation Site 3'!BenchmarkAllocation</vt:lpstr>
      <vt:lpstr>'A12. YND Reconciliation Site 4'!BenchmarkAllocation</vt:lpstr>
      <vt:lpstr>'A12. YND Reconciliation Site 5'!BenchmarkAllocation</vt:lpstr>
      <vt:lpstr>BenchmarkAllocation</vt:lpstr>
      <vt:lpstr>'A1. Identification'!Print_Area</vt:lpstr>
      <vt:lpstr>'A2.Allocation &amp; Operating Plan'!Print_Area</vt:lpstr>
      <vt:lpstr>'A5. Financial Position'!Print_Area</vt:lpstr>
      <vt:lpstr>'A6. Operations_Consolidated'!Print_Area</vt:lpstr>
      <vt:lpstr>'A6a. Operations-Site 1'!Print_Area</vt:lpstr>
      <vt:lpstr>'A6b. Operations-Site 2'!Print_Area</vt:lpstr>
      <vt:lpstr>'A6c. Operations-Site 3'!Print_Area</vt:lpstr>
      <vt:lpstr>'A6d. Operations-Site 4'!Print_Area</vt:lpstr>
      <vt:lpstr>'A6e. Operations-Site 5'!Print_Area</vt:lpstr>
      <vt:lpstr>'A7. 2025 CWELCC &amp; OTEF Recon'!Print_Area</vt:lpstr>
      <vt:lpstr>'Hide -Financial Health Score'!Print_Area</vt:lpstr>
      <vt:lpstr>'A12. YND Reconciliation'!ProgramCostsAllocation</vt:lpstr>
      <vt:lpstr>'A12. YND Reconciliation Site 2'!ProgramCostsAllocation</vt:lpstr>
      <vt:lpstr>'A12. YND Reconciliation Site 3'!ProgramCostsAllocation</vt:lpstr>
      <vt:lpstr>'A12. YND Reconciliation Site 4'!ProgramCostsAllocation</vt:lpstr>
      <vt:lpstr>'A12. YND Reconciliation Site 5'!ProgramCostsAllocation</vt:lpstr>
      <vt:lpstr>ProgramCostsAllocation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Dalugdog, Leslie</dc:creator>
  <cp:keywords/>
  <dc:description/>
  <cp:lastModifiedBy>Dealwis, Tina</cp:lastModifiedBy>
  <cp:revision/>
  <cp:lastPrinted>2025-11-12T16:20:37Z</cp:lastPrinted>
  <dcterms:created xsi:type="dcterms:W3CDTF">2024-10-04T16:03:10Z</dcterms:created>
  <dcterms:modified xsi:type="dcterms:W3CDTF">2026-04-02T20:35:33Z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0x0101006450AF52053E4366878046AAF3AB30AB00F4DA677B379E004E95BE8618F936A982</vt:lpwstr>
  </property>
  <property fmtid="{D5CDD505-2E9C-101B-9397-08002B2CF9AE}" pid="3" name="SIZADocumentType">
    <vt:lpwstr/>
  </property>
  <property fmtid="{D5CDD505-2E9C-101B-9397-08002B2CF9AE}" pid="4" name="SIZAService">
    <vt:lpwstr/>
  </property>
  <property fmtid="{D5CDD505-2E9C-101B-9397-08002B2CF9AE}" pid="5" name="SIZADivision">
    <vt:lpwstr>2;#Early Years and Child Care Services|ce06aa10-9999-42e6-922f-4e4b46a41053</vt:lpwstr>
  </property>
  <property fmtid="{D5CDD505-2E9C-101B-9397-08002B2CF9AE}" pid="6" name="MediaServiceImageTags">
    <vt:lpwstr/>
  </property>
  <property fmtid="{D5CDD505-2E9C-101B-9397-08002B2CF9AE}" pid="7" name="SIZASection">
    <vt:lpwstr>408;#Funding and Program Administration|bc19dac2-fc19-4cc5-8059-845f9493924a</vt:lpwstr>
  </property>
  <property fmtid="{D5CDD505-2E9C-101B-9397-08002B2CF9AE}" pid="8" name="SIZADepartment">
    <vt:lpwstr>1;#Human Services|118fdf37-3eb0-4f3d-9794-08c6dc12769c</vt:lpwstr>
  </property>
  <property fmtid="{D5CDD505-2E9C-101B-9397-08002B2CF9AE}" pid="9" name="SIZADocumentSubType">
    <vt:lpwstr/>
  </property>
  <property fmtid="{D5CDD505-2E9C-101B-9397-08002B2CF9AE}" pid="10" name="SIZARecordClassification">
    <vt:lpwstr/>
  </property>
  <property fmtid="{D5CDD505-2E9C-101B-9397-08002B2CF9AE}" pid="11" name="SIZAKeywords">
    <vt:lpwstr/>
  </property>
  <property fmtid="{D5CDD505-2E9C-101B-9397-08002B2CF9AE}" pid="12" name="_dlc_DocIdItemGuid">
    <vt:lpwstr>2cc34dd3-4331-4b72-ba2b-704af5845c76</vt:lpwstr>
  </property>
</Properties>
</file>